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0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Foglio1!$A$1:$A$190</definedName>
    <definedName name="_xlnm.Print_Area" localSheetId="0">Foglio1!$A$1:$N$152</definedName>
  </definedNames>
  <calcPr calcId="124519"/>
</workbook>
</file>

<file path=xl/calcChain.xml><?xml version="1.0" encoding="utf-8"?>
<calcChain xmlns="http://schemas.openxmlformats.org/spreadsheetml/2006/main">
  <c r="L135" i="1"/>
  <c r="L132"/>
  <c r="L124" l="1"/>
  <c r="L164" l="1"/>
  <c r="L156"/>
  <c r="L66"/>
  <c r="L44"/>
  <c r="L106"/>
  <c r="L151"/>
  <c r="L77"/>
  <c r="L192"/>
  <c r="L180"/>
  <c r="L174"/>
  <c r="L58"/>
  <c r="L60"/>
  <c r="L163"/>
  <c r="L79"/>
  <c r="L45"/>
  <c r="E210" l="1"/>
  <c r="E207"/>
  <c r="E205" l="1"/>
  <c r="L91"/>
  <c r="E202"/>
  <c r="E201"/>
  <c r="L22" l="1"/>
  <c r="L46" l="1"/>
  <c r="L138" l="1"/>
  <c r="E198" l="1"/>
  <c r="L14" l="1"/>
  <c r="L133"/>
  <c r="L127"/>
  <c r="L130"/>
  <c r="L26" l="1"/>
  <c r="L28" l="1"/>
  <c r="L153"/>
  <c r="L188" l="1"/>
  <c r="L193"/>
  <c r="L197"/>
  <c r="L139"/>
  <c r="L118" l="1"/>
  <c r="L136"/>
  <c r="L78"/>
  <c r="L115"/>
  <c r="L145"/>
  <c r="L114"/>
  <c r="L126"/>
  <c r="L125"/>
  <c r="L143"/>
  <c r="L158"/>
  <c r="L137"/>
  <c r="E196" l="1"/>
  <c r="E195" l="1"/>
  <c r="E193"/>
  <c r="E192" l="1"/>
  <c r="L119"/>
  <c r="E190"/>
  <c r="I133" l="1"/>
  <c r="E187"/>
  <c r="E183" l="1"/>
  <c r="L131"/>
  <c r="L108"/>
  <c r="E182"/>
  <c r="E181"/>
  <c r="E180"/>
  <c r="L129" l="1"/>
  <c r="E175"/>
  <c r="E174"/>
  <c r="L123"/>
  <c r="L103"/>
  <c r="L110"/>
  <c r="L51"/>
  <c r="L144"/>
  <c r="L142"/>
  <c r="L102"/>
  <c r="L47"/>
  <c r="E172" l="1"/>
  <c r="L107"/>
  <c r="L25" l="1"/>
  <c r="L24"/>
  <c r="E171" l="1"/>
  <c r="E170"/>
  <c r="E166"/>
  <c r="E165" l="1"/>
  <c r="E164" l="1"/>
  <c r="L98" l="1"/>
  <c r="L100"/>
  <c r="E163" l="1"/>
  <c r="H162"/>
  <c r="G162"/>
  <c r="E162"/>
  <c r="E160" l="1"/>
  <c r="D160"/>
  <c r="E158"/>
  <c r="L104" l="1"/>
  <c r="L99"/>
  <c r="L88" l="1"/>
  <c r="L101"/>
  <c r="E156"/>
  <c r="E154"/>
  <c r="D154"/>
  <c r="E155"/>
  <c r="E153"/>
  <c r="E150" l="1"/>
  <c r="L49" l="1"/>
  <c r="L116"/>
  <c r="E149" l="1"/>
  <c r="D149"/>
  <c r="E147"/>
  <c r="D147"/>
  <c r="E146"/>
  <c r="D146"/>
  <c r="E143"/>
  <c r="E141" l="1"/>
  <c r="E138"/>
  <c r="E140"/>
  <c r="E139"/>
  <c r="D139"/>
  <c r="L29" l="1"/>
  <c r="E136" l="1"/>
  <c r="E135"/>
  <c r="E134" l="1"/>
  <c r="D134"/>
  <c r="E133" l="1"/>
  <c r="E132"/>
  <c r="E129"/>
  <c r="D129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<sst xmlns="http://schemas.openxmlformats.org/spreadsheetml/2006/main" count="1600" uniqueCount="1069">
  <si>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</si>
  <si>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</si>
  <si>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</si>
  <si>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</si>
  <si>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</si>
  <si>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</si>
  <si>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</si>
  <si>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</si>
  <si>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</si>
  <si>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</si>
  <si>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</si>
  <si>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</si>
  <si>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</si>
  <si>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</si>
  <si>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</si>
  <si>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</si>
  <si>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</si>
  <si>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</si>
  <si>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</si>
  <si>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</si>
  <si>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</si>
  <si>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</si>
  <si>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</si>
  <si>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</si>
  <si>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</si>
  <si>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</si>
  <si>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</si>
  <si>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</si>
  <si>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</si>
  <si>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</si>
  <si>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</si>
  <si>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</si>
  <si>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</si>
  <si>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</si>
  <si>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</si>
  <si>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</si>
  <si>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</si>
  <si>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</si>
  <si>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</si>
  <si>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</si>
  <si>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</si>
  <si>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</si>
  <si>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</si>
  <si>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</si>
  <si>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</si>
  <si>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</si>
  <si>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</si>
  <si>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</si>
  <si>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</si>
  <si>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</si>
  <si>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</si>
  <si>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</si>
  <si>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</si>
  <si>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</si>
  <si>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</si>
  <si>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</si>
  <si>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</si>
  <si>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</si>
  <si>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</si>
  <si>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</si>
  <si>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</si>
  <si>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</si>
  <si>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</si>
  <si>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</si>
  <si>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Ordine N.10 del 13.01.2017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</si>
  <si>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</si>
  <si>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</si>
  <si>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</si>
  <si>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</si>
  <si>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Ordine N.11 del 13.01.2017</t>
  </si>
  <si>
    <t>Fornitura e posa in opera climatizzatore MONOSPLIT 15.000 BTU “HAIER mod.</t>
  </si>
  <si>
    <t>Idrotermicasolare</t>
  </si>
  <si>
    <t>01478940552</t>
  </si>
  <si>
    <t>Ordine N.12 del 13.01.2017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</si>
  <si>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</si>
  <si>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</si>
  <si>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</si>
  <si>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</si>
  <si>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</si>
  <si>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</si>
  <si>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</si>
  <si>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</si>
  <si>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</si>
  <si>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</si>
  <si>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</si>
  <si>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</si>
  <si>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Ordine N.14 del 16.01.2017</t>
  </si>
  <si>
    <t>Ordine N.13 del 16.01.2017</t>
  </si>
  <si>
    <t>Z081CEE4A1</t>
  </si>
  <si>
    <t>Z4D1CF1D77</t>
  </si>
  <si>
    <t>Acquisto parti di ricambio e parti di consumo parcometri Stelio Parkeon</t>
  </si>
  <si>
    <t>Parkeon S.p.a.</t>
  </si>
  <si>
    <t>04065160964</t>
  </si>
  <si>
    <t>Ordine N.15 del 16.01.2017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</si>
  <si>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</si>
  <si>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</si>
  <si>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</si>
  <si>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</si>
  <si>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</si>
  <si>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Ordine N.16 del 17.01.2017</t>
  </si>
  <si>
    <t>Z151CF4C24</t>
  </si>
  <si>
    <t>Realizzazione nuovo tratto di fognatura di collegamento acque in uscita dal disoleatore</t>
  </si>
  <si>
    <t>Soc. Coop. Orchidea Nara</t>
  </si>
  <si>
    <t>01345890550</t>
  </si>
  <si>
    <t>Ordine N.17 del 17.01.2017</t>
  </si>
  <si>
    <t>Z471CF5E85</t>
  </si>
  <si>
    <t>Spostamento mobili da ufficio da Terni Reti ad Aviosuperficie.</t>
  </si>
  <si>
    <t>Coop. Soc. Zerodue</t>
  </si>
  <si>
    <t>01438190553</t>
  </si>
  <si>
    <t>Ordine N.18 del 17.01.2017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</si>
  <si>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</si>
  <si>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</si>
  <si>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</si>
  <si>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</si>
  <si>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</si>
  <si>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</si>
  <si>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</si>
  <si>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</si>
  <si>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</si>
  <si>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</si>
  <si>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</si>
  <si>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</si>
  <si>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</si>
  <si>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</si>
  <si>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</si>
  <si>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Ordine N.22 del 17.01.2017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</si>
  <si>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</si>
  <si>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</si>
  <si>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</si>
  <si>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</si>
  <si>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</si>
  <si>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</si>
  <si>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Ordine N.23 del 17.01.2017</t>
  </si>
  <si>
    <t>ZC81D04C3F</t>
  </si>
  <si>
    <t>RICETRASMETTITORE IN BANDA AEREA SENZA FUNZIONE DI NAVIGAZIONE VOR</t>
  </si>
  <si>
    <t>Marcucci s.p.a.</t>
  </si>
  <si>
    <t>00814540159</t>
  </si>
  <si>
    <t>Ordine N.24 del 17.01.2017</t>
  </si>
  <si>
    <t>Perizia valutazione impatto acustico ambientale dell’Aviosuperficie</t>
  </si>
  <si>
    <t>Simpes S.r.l.</t>
  </si>
  <si>
    <t>00694710559</t>
  </si>
  <si>
    <t>Ordine N.25 del 23.01.2017</t>
  </si>
  <si>
    <t>Z601D0F063</t>
  </si>
  <si>
    <t>Interventi di manutenzione effettuati in data 10.01.2017 presso il Parcheggio di San Francesco</t>
  </si>
  <si>
    <t>Listanti Alberto</t>
  </si>
  <si>
    <t>01348100551</t>
  </si>
  <si>
    <t>Ordine N.26 del 24.01.2017</t>
  </si>
  <si>
    <t>Z261D0F267</t>
  </si>
  <si>
    <t>Intervento in emergenza nei bagni uffici Terni Reti in data 12.01.2017</t>
  </si>
  <si>
    <t>Ordine N.27 del 24.01.2017</t>
  </si>
  <si>
    <t>ZB31D0F421</t>
  </si>
  <si>
    <t>Intervento di manutenzione effettuato in data 14.01.2017 per danni provocati presso Aviosuperficie dalle basse temperature</t>
  </si>
  <si>
    <t>Ordine N.28 del 24.01.2017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</si>
  <si>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</si>
  <si>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</si>
  <si>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</si>
  <si>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</si>
  <si>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</si>
  <si>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</si>
  <si>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</si>
  <si>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</si>
  <si>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</si>
  <si>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</si>
  <si>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</si>
  <si>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Ordine N.31 del 26.01.2017</t>
  </si>
  <si>
    <t>Ordine N.30 del 25.01.2017</t>
  </si>
  <si>
    <t>Z0F1D198C4</t>
  </si>
  <si>
    <t>Pulizia straordinaria dei parcheggi coperti: Via Turati, Via Guglielmi, Borgo Rivo.</t>
  </si>
  <si>
    <t>Mario Carsili</t>
  </si>
  <si>
    <t>00250140555</t>
  </si>
  <si>
    <t>Ordine N.32 del 26.01.2017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</si>
  <si>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</si>
  <si>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</si>
  <si>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</si>
  <si>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</si>
  <si>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</si>
  <si>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</si>
  <si>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Ordine N.33 del 27.01.2017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</si>
  <si>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</si>
  <si>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</si>
  <si>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</si>
  <si>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</si>
  <si>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</si>
  <si>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</si>
  <si>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Ordine N.37 del 31.01.2017</t>
  </si>
  <si>
    <t>Ordine N.36 del 30.01.2017</t>
  </si>
  <si>
    <t>Z2F1D0A569</t>
  </si>
  <si>
    <t>Z671CFB78B</t>
  </si>
  <si>
    <t>Dominio ternireti.it 2015/2016 e 2016/2017</t>
  </si>
  <si>
    <t>A.Tel Telecomunicazioni</t>
  </si>
  <si>
    <t>Ordine N.21 del 18.01.2017</t>
  </si>
  <si>
    <t>Z2C1D2C9AA</t>
  </si>
  <si>
    <t>Opere di manutenzione presso Parcheggio San Francesco in data 07.11.2016 E in data 09.11.2016</t>
  </si>
  <si>
    <t>Ordine N.38 del 01.02.2017</t>
  </si>
  <si>
    <t>ZB71D31B40</t>
  </si>
  <si>
    <t>Servizio centralizzazione parcometri Parkfolio Parkeon Stelio comprensivo:</t>
  </si>
  <si>
    <t>Ordine N.39 del 01.02.2017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</si>
  <si>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</si>
  <si>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</si>
  <si>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</si>
  <si>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</si>
  <si>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</si>
  <si>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</si>
  <si>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</si>
  <si>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</si>
  <si>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Ordine N.40 del 06.02.2017</t>
  </si>
  <si>
    <t>ZCB1D3D411</t>
  </si>
  <si>
    <t>Upgrade da casella standard a Premium per dominio Terni Reti</t>
  </si>
  <si>
    <t>Ordine N.41 del 06.02.2017</t>
  </si>
  <si>
    <t>Z231D4234E</t>
  </si>
  <si>
    <t>Canone assistenza e manutenzione Concilia anno 2017</t>
  </si>
  <si>
    <t>Ordine N.42 del 07.02.2017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</si>
  <si>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</si>
  <si>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</si>
  <si>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</si>
  <si>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</si>
  <si>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</si>
  <si>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</si>
  <si>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</si>
  <si>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Ordine N.43 del 07.02.2017</t>
  </si>
  <si>
    <t>Ordine N.20 del 18.01.2017</t>
  </si>
  <si>
    <t>Z211D487C1</t>
  </si>
  <si>
    <t>Targa in alluminio con Logo Terni Reti +Stampa digitale n.2 pannelli trasparenti con indicazioni orari e uffici Terni Reti</t>
  </si>
  <si>
    <t>Ordine N.44 del 08.02.2017</t>
  </si>
  <si>
    <t>ZF91D491EE</t>
  </si>
  <si>
    <t>Fornitura parti di ricambio per parcometri</t>
  </si>
  <si>
    <t>Sispark Srl</t>
  </si>
  <si>
    <t>0016202549</t>
  </si>
  <si>
    <t>Ordine N.45 del 08.02.2017</t>
  </si>
  <si>
    <t>Z0E1D50FD2</t>
  </si>
  <si>
    <t>Intervento rapporto 73 del 19/01/2017</t>
  </si>
  <si>
    <t>S.E.M.A.P. SRL</t>
  </si>
  <si>
    <t>00557650553</t>
  </si>
  <si>
    <t>Ordine N.47 del 09.02.2017</t>
  </si>
  <si>
    <t>ZC91D4E9FB</t>
  </si>
  <si>
    <t>Terminale palmare Samsung Galaxy ;• Stampante Citizien ; Software residente Concilia Mobile x 5</t>
  </si>
  <si>
    <t>Ordine N.46 del 09.02.2017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</si>
  <si>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</si>
  <si>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</si>
  <si>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</si>
  <si>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</si>
  <si>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</si>
  <si>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</si>
  <si>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</si>
  <si>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</si>
  <si>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</si>
  <si>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</si>
  <si>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</si>
  <si>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Ordine N.48 del 10.02.2017</t>
  </si>
  <si>
    <t>Z7C1D53746</t>
  </si>
  <si>
    <t xml:space="preserve">Pouches 111 x 154 fustellate per permessi invalidi </t>
  </si>
  <si>
    <t>CIP DUE SRL</t>
  </si>
  <si>
    <t>01235660550</t>
  </si>
  <si>
    <t>Ordine N.49 del 10.02.2017</t>
  </si>
  <si>
    <t>Z501D53C15</t>
  </si>
  <si>
    <t>Prestazione tecnico informatico per l’intera giornata lavorativa del 15/02/2017</t>
  </si>
  <si>
    <t>Umbria Digitale S.c. ar.l.</t>
  </si>
  <si>
    <t>03761180961</t>
  </si>
  <si>
    <t>Ordine N.50 del 10.02.2017</t>
  </si>
  <si>
    <t>Z331D548DB</t>
  </si>
  <si>
    <t>Riferimento intervento bolla n.3: Rimontaggio sportello siglato H2O /Taglio piastrella per passaggio cavo elettrico</t>
  </si>
  <si>
    <t>Ordine N.51 del 10.02.2017</t>
  </si>
  <si>
    <t>ZF31D55563</t>
  </si>
  <si>
    <t>Servizio di pagamento della tariffa di sosta mediante l'utilizzo della piattaforma tecnologica myCicero per l'anno 2017</t>
  </si>
  <si>
    <t>PluService S.r.l.</t>
  </si>
  <si>
    <t>Ordine N.52 del 10.02.2017</t>
  </si>
  <si>
    <t>Z7E1D5582B</t>
  </si>
  <si>
    <t>Formazione specifica VDT del 16/12/2016 4 ore</t>
  </si>
  <si>
    <t>Ordine N.53 del 10.02.2017</t>
  </si>
  <si>
    <t>ZC81D55B72</t>
  </si>
  <si>
    <t>Intervento urgente eseguito presso Centro Multimediale sito in P.le Bosco 3 in data 30/12/2017</t>
  </si>
  <si>
    <t>Ordine N.54 del 10.02.2017</t>
  </si>
  <si>
    <t>Z3A1D55C64</t>
  </si>
  <si>
    <t>Interventi Extra eseguiti presso Centro Stella TERNI RETI nelle date 05/10/2016; Intervento del 11/10/2016; Intervento del 12/10/2016; del 27/10/2016</t>
  </si>
  <si>
    <t>Ordine N.55 del 10.02.2017</t>
  </si>
  <si>
    <t>ZD61D72A14</t>
  </si>
  <si>
    <t>Canone assistenza SW per contabilità, paghe e rilevazione presenze per l'anno 2017.</t>
  </si>
  <si>
    <t>Wolters Kluwer Italia srl</t>
  </si>
  <si>
    <t>Ordine N.57 del 10.02.2017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</si>
  <si>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</si>
  <si>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</si>
  <si>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</si>
  <si>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</si>
  <si>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</si>
  <si>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</si>
  <si>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</si>
  <si>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>Ordine N.61 del 23.02.2017</t>
  </si>
  <si>
    <t xml:space="preserve"> Z111D84352 </t>
  </si>
  <si>
    <t>Fornitura e posa in opera di lampade a infrarossi da installare presso WC spogliatoi uomini e WC spogliatoi donne.</t>
  </si>
  <si>
    <t>Ordine N.62 del 23.02.2017</t>
  </si>
  <si>
    <t>Copie conformi lettere di sollecito pre ruolo 2015 in formato digitale su CD Rom</t>
  </si>
  <si>
    <t xml:space="preserve"> Z261D7FD7C </t>
  </si>
  <si>
    <t>Ordine N.60 del 22.02.2017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</si>
  <si>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</si>
  <si>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</si>
  <si>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</si>
  <si>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</si>
  <si>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Ordine N.64 del 23.02.2017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</si>
  <si>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</si>
  <si>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</si>
  <si>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</si>
  <si>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</si>
  <si>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Ordine N.63 del 23.02.2017</t>
  </si>
  <si>
    <t>Z981D91B22</t>
  </si>
  <si>
    <t>Intervento di affissione cartellonistica effettuato in data 25.02.2017 presso la sede Uffici Terni Reti. Manod’opera più materiali.</t>
  </si>
  <si>
    <t>Ordine N.65 del 28.02.2017</t>
  </si>
  <si>
    <t>ZEA1D9A007</t>
  </si>
  <si>
    <t>Parcheggio San Francesco. Intervent1 del 31.01.2017 ;del 01.02.2017; del 02.02.2017 e 03.02.2017.</t>
  </si>
  <si>
    <t>Ordine N.66 del 28.02.2017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</si>
  <si>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</si>
  <si>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</si>
  <si>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</si>
  <si>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</si>
  <si>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</si>
  <si>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</si>
  <si>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</si>
  <si>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</si>
  <si>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Ordine N.67 del 02.03.2017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</si>
  <si>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</si>
  <si>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</si>
  <si>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</si>
  <si>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</si>
  <si>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</si>
  <si>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</si>
  <si>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</si>
  <si>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</si>
  <si>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</si>
  <si>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</si>
  <si>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</si>
  <si>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</si>
  <si>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</si>
  <si>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</si>
  <si>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</si>
  <si>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</si>
  <si>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</si>
  <si>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</si>
  <si>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</si>
  <si>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</si>
  <si>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</si>
  <si>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</si>
  <si>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</si>
  <si>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</si>
  <si>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</si>
  <si>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</si>
  <si>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</si>
  <si>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Ordine N.69 del 02.03.2017</t>
  </si>
  <si>
    <t>Z0A1DB4706</t>
  </si>
  <si>
    <t>Lavori urgenti eseguiti presso bagni sede Terni Reti:</t>
  </si>
  <si>
    <t>Ordine N.70 del 02.03.2017</t>
  </si>
  <si>
    <t>ZF81DB4A62</t>
  </si>
  <si>
    <t>Ordine N.71 del 02.03.2017</t>
  </si>
  <si>
    <t>Z9B1DB53A2</t>
  </si>
  <si>
    <t>Armadi spogliatoi</t>
  </si>
  <si>
    <t xml:space="preserve">BIG S.r.l. </t>
  </si>
  <si>
    <t>Ordine N.72 del 02.03.2017</t>
  </si>
  <si>
    <t>ZFA1DBCF49</t>
  </si>
  <si>
    <t>Parcheggio San Francesco Intervento del 09/12/2016;Intervento del 14/12/2016;Intervento del 13-14/12/2016;Intervento del 16-17/12/2016</t>
  </si>
  <si>
    <t>Ordine N.74 del 02.03.2017</t>
  </si>
  <si>
    <t>Z841DBD0D1</t>
  </si>
  <si>
    <t>Parcheggio San Francesco.Intervento del 06/12/2016</t>
  </si>
  <si>
    <t>Ordine N.75 del 02.03.2017</t>
  </si>
  <si>
    <t>Assegnato</t>
  </si>
  <si>
    <t>Ordine n. 34 del 26/01/2017</t>
  </si>
  <si>
    <t>ZD61DDBA9A</t>
  </si>
  <si>
    <t>SC SAT DI Cannarella Sergio</t>
  </si>
  <si>
    <t xml:space="preserve"> CNNSRG60E24L177E</t>
  </si>
  <si>
    <t>Ordine N.82 del 16.03.2017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</si>
  <si>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</si>
  <si>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</si>
  <si>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</si>
  <si>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</si>
  <si>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</si>
  <si>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</si>
  <si>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</si>
  <si>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Ordine N.78 del 10.03.2017</t>
  </si>
  <si>
    <t>Ordine N.79 del 14.03.2017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</si>
  <si>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</si>
  <si>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</si>
  <si>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</si>
  <si>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</si>
  <si>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</si>
  <si>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</si>
  <si>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>Ordine N.83 del 16.03.2017</t>
  </si>
  <si>
    <t xml:space="preserve"> ZDA1DDBE9F </t>
  </si>
  <si>
    <t xml:space="preserve">Sorveglianza sanitaria anno 2017
Assunzione responsabilità Medico competente 2017
RSPP 2017
</t>
  </si>
  <si>
    <t>Ordine N.84 del 16.03.2017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</si>
  <si>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</si>
  <si>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</si>
  <si>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</si>
  <si>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</si>
  <si>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</si>
  <si>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</si>
  <si>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</si>
  <si>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</si>
  <si>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</si>
  <si>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</si>
  <si>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</si>
  <si>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</si>
  <si>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</si>
  <si>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</si>
  <si>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</si>
  <si>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</si>
  <si>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</si>
  <si>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</si>
  <si>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</si>
  <si>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Ordine N.91 del 22.03.2017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</si>
  <si>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</si>
  <si>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</si>
  <si>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</si>
  <si>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</si>
  <si>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</si>
  <si>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</si>
  <si>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</si>
  <si>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</si>
  <si>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</si>
  <si>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</si>
  <si>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</si>
  <si>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</si>
  <si>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</si>
  <si>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</si>
  <si>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</si>
  <si>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</si>
  <si>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</si>
  <si>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</si>
  <si>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</si>
  <si>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</si>
  <si>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</si>
  <si>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</si>
  <si>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</si>
  <si>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</si>
  <si>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</si>
  <si>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</si>
  <si>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</si>
  <si>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</si>
  <si>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</si>
  <si>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</si>
  <si>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</si>
  <si>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</si>
  <si>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</si>
  <si>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</si>
  <si>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</si>
  <si>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</si>
  <si>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</si>
  <si>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</si>
  <si>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</si>
  <si>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</si>
  <si>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</si>
  <si>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</si>
  <si>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</si>
  <si>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</si>
  <si>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</si>
  <si>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</si>
  <si>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</si>
  <si>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0003536 del 24/03/2017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</si>
  <si>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</si>
  <si>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</si>
  <si>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</si>
  <si>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</si>
  <si>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</si>
  <si>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</si>
  <si>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</si>
  <si>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</si>
  <si>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</si>
  <si>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</si>
  <si>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</si>
  <si>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</si>
  <si>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</si>
  <si>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</si>
  <si>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</si>
  <si>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</si>
  <si>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</si>
  <si>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</si>
  <si>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</si>
  <si>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</si>
  <si>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</si>
  <si>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</si>
  <si>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</si>
  <si>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</si>
  <si>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</si>
  <si>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</si>
  <si>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</si>
  <si>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</si>
  <si>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</si>
  <si>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</si>
  <si>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</si>
  <si>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</si>
  <si>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</si>
  <si>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</si>
  <si>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</si>
  <si>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</si>
  <si>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</si>
  <si>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</si>
  <si>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</si>
  <si>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</si>
  <si>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</si>
  <si>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</si>
  <si>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</si>
  <si>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</si>
  <si>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</si>
  <si>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</si>
  <si>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</si>
  <si>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</si>
  <si>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</si>
  <si>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</si>
  <si>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</si>
  <si>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</si>
  <si>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</si>
  <si>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</si>
  <si>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</si>
  <si>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</si>
  <si>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</si>
  <si>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</si>
  <si>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</si>
  <si>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</si>
  <si>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</si>
  <si>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</si>
  <si>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</si>
  <si>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</si>
  <si>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</si>
  <si>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</si>
  <si>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</si>
  <si>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</si>
  <si>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</si>
  <si>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</si>
  <si>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</si>
  <si>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</si>
  <si>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</si>
  <si>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</si>
  <si>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</si>
  <si>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</si>
  <si>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</si>
  <si>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</si>
  <si>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</si>
  <si>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</si>
  <si>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</si>
  <si>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</si>
  <si>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</si>
  <si>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</si>
  <si>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</si>
  <si>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</si>
  <si>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</si>
  <si>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</si>
  <si>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</si>
  <si>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</si>
  <si>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</si>
  <si>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</si>
  <si>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</si>
  <si>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Prot. 0004941 del 27/04/2017</t>
  </si>
  <si>
    <t>Convenzione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</si>
  <si>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</si>
  <si>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</si>
  <si>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</si>
  <si>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</si>
  <si>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</si>
  <si>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</si>
  <si>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</si>
  <si>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</si>
  <si>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</si>
  <si>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</si>
  <si>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</si>
  <si>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</si>
  <si>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</si>
  <si>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</si>
  <si>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</si>
  <si>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</si>
  <si>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</si>
  <si>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</si>
  <si>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</si>
  <si>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</si>
  <si>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</si>
  <si>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</si>
  <si>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Z751E797A3</t>
  </si>
  <si>
    <t>Cellulare + SIM Morace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</si>
  <si>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</si>
  <si>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</si>
  <si>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</si>
  <si>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</si>
  <si>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</si>
  <si>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</si>
  <si>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</si>
  <si>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</si>
  <si>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</si>
  <si>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</si>
  <si>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</si>
  <si>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</si>
  <si>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</si>
  <si>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</si>
  <si>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</si>
  <si>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</si>
  <si>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</si>
  <si>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</si>
  <si>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</si>
  <si>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</si>
  <si>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</si>
  <si>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</si>
  <si>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</si>
  <si>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</si>
  <si>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</si>
  <si>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</si>
  <si>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</si>
  <si>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</si>
  <si>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</si>
  <si>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</si>
  <si>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</si>
  <si>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</si>
  <si>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</si>
  <si>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</si>
  <si>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</si>
  <si>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</si>
  <si>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</si>
  <si>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</si>
  <si>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</si>
  <si>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</si>
  <si>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</si>
  <si>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</si>
  <si>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</si>
  <si>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0005196 del 04/05/2017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</si>
  <si>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</si>
  <si>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</si>
  <si>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</si>
  <si>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</si>
  <si>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</si>
  <si>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</si>
  <si>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</si>
  <si>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</si>
  <si>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</si>
  <si>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</si>
  <si>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</si>
  <si>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</si>
  <si>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</si>
  <si>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</si>
  <si>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</si>
  <si>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</si>
  <si>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</si>
  <si>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</si>
  <si>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</si>
  <si>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</si>
  <si>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0005473 del 11/05/2017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</si>
  <si>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</si>
  <si>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</si>
  <si>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</si>
  <si>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</si>
  <si>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</si>
  <si>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</si>
  <si>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</si>
  <si>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</si>
  <si>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</si>
  <si>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</si>
  <si>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</si>
  <si>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</si>
  <si>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</si>
  <si>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</si>
  <si>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</si>
  <si>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Consip n. 365227 Ordine n. 125 del 11/05/2017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</si>
  <si>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</si>
  <si>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</si>
  <si>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</si>
  <si>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</si>
  <si>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</si>
  <si>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</si>
  <si>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</si>
  <si>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</si>
  <si>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</si>
  <si>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</si>
  <si>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</si>
  <si>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</si>
  <si>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</si>
  <si>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</si>
  <si>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</si>
  <si>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</si>
  <si>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</si>
  <si>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</si>
  <si>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</si>
  <si>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</si>
  <si>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</si>
  <si>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</si>
  <si>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</si>
  <si>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</si>
  <si>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</si>
  <si>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</si>
  <si>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</si>
  <si>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</si>
  <si>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</si>
  <si>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</si>
  <si>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</si>
  <si>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</si>
  <si>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</si>
  <si>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</si>
  <si>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</si>
  <si>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</si>
  <si>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</si>
  <si>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</si>
  <si>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</si>
  <si>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Prot. 0004179 del 10/04/2017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</si>
  <si>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</si>
  <si>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</si>
  <si>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</si>
  <si>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</si>
  <si>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</si>
  <si>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</si>
  <si>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</si>
  <si>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</si>
  <si>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</si>
  <si>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</si>
  <si>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</si>
  <si>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Prot. 0006282 del 01/06/2017</t>
  </si>
  <si>
    <t>ZDE1EE5135</t>
  </si>
  <si>
    <t>Filtro per maschere + schiuma antincendio aviosuperficie</t>
  </si>
  <si>
    <t>Ordine n. 141 del 06/06/2017</t>
  </si>
  <si>
    <t>ZEC1EE95B1</t>
  </si>
  <si>
    <t>Fornitura e messa a terra begonie</t>
  </si>
  <si>
    <t>Amati Tarquinio</t>
  </si>
  <si>
    <t>Ordine n. 142 del 07/06/2017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</si>
  <si>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</si>
  <si>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</si>
  <si>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</si>
  <si>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</si>
  <si>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</si>
  <si>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</si>
  <si>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</si>
  <si>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</si>
  <si>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</si>
  <si>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</si>
  <si>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</si>
  <si>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</si>
  <si>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</si>
  <si>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</si>
  <si>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</si>
  <si>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Z501EFD27F</t>
  </si>
  <si>
    <t>N. 1 SIM ausiliari sosta</t>
  </si>
  <si>
    <t>Ordine n. 147 del 14/06/2017-CONSIP 3721704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</si>
  <si>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</si>
  <si>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</si>
  <si>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</si>
  <si>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</si>
  <si>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</si>
  <si>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</si>
  <si>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</si>
  <si>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</si>
  <si>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</si>
  <si>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</si>
  <si>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</si>
  <si>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</si>
  <si>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</si>
  <si>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</si>
  <si>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</si>
  <si>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</si>
  <si>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</si>
  <si>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</si>
  <si>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</si>
  <si>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</si>
  <si>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</si>
  <si>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</si>
  <si>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</si>
  <si>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</si>
  <si>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</si>
  <si>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</si>
  <si>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</si>
  <si>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</si>
  <si>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</si>
  <si>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</si>
  <si>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</si>
  <si>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</si>
  <si>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</si>
  <si>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</si>
  <si>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</si>
  <si>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</si>
  <si>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</si>
  <si>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</si>
  <si>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</si>
  <si>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</si>
  <si>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</si>
  <si>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</si>
  <si>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</si>
  <si>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</si>
  <si>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</si>
  <si>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</si>
  <si>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</si>
  <si>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</si>
  <si>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</si>
  <si>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</si>
  <si>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</si>
  <si>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</si>
  <si>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</si>
  <si>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</si>
  <si>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</si>
  <si>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</si>
  <si>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</si>
  <si>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</si>
  <si>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</si>
  <si>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</si>
  <si>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</si>
  <si>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</si>
  <si>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</si>
  <si>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</si>
  <si>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</si>
  <si>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</si>
  <si>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</si>
  <si>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</si>
  <si>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</si>
  <si>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</si>
  <si>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</si>
  <si>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</si>
  <si>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</si>
  <si>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</si>
  <si>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</si>
  <si>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</si>
  <si>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</si>
  <si>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</si>
  <si>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</si>
  <si>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</si>
  <si>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</si>
  <si>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</si>
  <si>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</si>
  <si>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Ordine n. 146 del 13/06/2017                                    Ordine n. 154 del 21/06/2017</t>
  </si>
  <si>
    <t>Prot. 0006714 del 14/06/2017                   Prot. 0007067 del 22/06/2017</t>
  </si>
  <si>
    <t>Prot. 0006703 del 14/06/2017</t>
  </si>
  <si>
    <t>Prot. 0006697 del 13/06/2017</t>
  </si>
  <si>
    <t>Prot. 0006574 del 08/06/2017</t>
  </si>
  <si>
    <t>Prot. 0006702 del 14/06/2017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</si>
  <si>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</si>
  <si>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</si>
  <si>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</si>
  <si>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</si>
  <si>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</si>
  <si>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</si>
  <si>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</si>
  <si>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</si>
  <si>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</si>
  <si>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</si>
  <si>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</si>
  <si>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</si>
  <si>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</si>
  <si>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</si>
  <si>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</si>
  <si>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</si>
  <si>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</si>
  <si>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</si>
  <si>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</si>
  <si>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</si>
  <si>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</si>
  <si>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</si>
  <si>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</si>
  <si>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00359810553</t>
  </si>
  <si>
    <t>Z361F28A7C</t>
  </si>
  <si>
    <t>Manutenzione straordinaria impianto di irrigazione delle aiuole presenti su L.go Ottaviani e L.go Micheli</t>
  </si>
  <si>
    <t>Il Germoglio, Verdisa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</si>
  <si>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</si>
  <si>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</si>
  <si>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</si>
  <si>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</si>
  <si>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</si>
  <si>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</si>
  <si>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</si>
  <si>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Ordine n. 162 del 29/06/2017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</si>
  <si>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</si>
  <si>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</si>
  <si>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</si>
  <si>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</si>
  <si>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</si>
  <si>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</si>
  <si>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</si>
  <si>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</si>
  <si>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</si>
  <si>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</si>
  <si>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</si>
  <si>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</si>
  <si>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</si>
  <si>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</si>
  <si>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</si>
  <si>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</si>
  <si>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</si>
  <si>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</si>
  <si>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</si>
  <si>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Ordine Consip n. 2745002 del 17/02/2016</t>
  </si>
  <si>
    <t>Z9A1F4762E</t>
  </si>
  <si>
    <t>Pile Zinco-Aria 9V per parcometro Stelio</t>
  </si>
  <si>
    <t>Ordine n. 165 del 07/07/2017</t>
  </si>
  <si>
    <t>S.I.S. Parking Service</t>
  </si>
  <si>
    <t>ZBF1F47A45</t>
  </si>
  <si>
    <t>Cavetto alimentazione pile/batteria parcometri Stelio</t>
  </si>
  <si>
    <t>Parkeon S.p.A.</t>
  </si>
  <si>
    <t>S.I.S.Parking Service</t>
  </si>
  <si>
    <t>00162020549</t>
  </si>
  <si>
    <t>Ordine n. 166 del 07/07/2017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</si>
  <si>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</si>
  <si>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</si>
  <si>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</si>
  <si>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</si>
  <si>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</si>
  <si>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</si>
  <si>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</si>
  <si>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</si>
  <si>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</si>
  <si>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</si>
  <si>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</si>
  <si>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</si>
  <si>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</si>
  <si>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</si>
  <si>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</si>
  <si>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</si>
  <si>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</si>
  <si>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</si>
  <si>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</si>
  <si>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</si>
  <si>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</si>
  <si>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</si>
  <si>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</si>
  <si>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0007539 del 03/07/2017</t>
  </si>
  <si>
    <t>Prot. 0007540 del 03/07/2017</t>
  </si>
  <si>
    <t>Prot. 0007620 del 05/07/2017</t>
  </si>
  <si>
    <t>Prot. 0007403 del 29/06/2017</t>
  </si>
  <si>
    <t>Prot. 0000309 del 17/02/2016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</si>
  <si>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</si>
  <si>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</si>
  <si>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</si>
  <si>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</si>
  <si>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</si>
  <si>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</si>
  <si>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</si>
  <si>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0007813 del 11/07/2017</t>
  </si>
  <si>
    <t>Prot. 0007882 del 13/07/2017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</si>
  <si>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</si>
  <si>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</si>
  <si>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</si>
  <si>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</si>
  <si>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</si>
  <si>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</si>
  <si>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</si>
  <si>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</si>
  <si>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</si>
  <si>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</si>
  <si>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</si>
  <si>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</si>
  <si>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</si>
  <si>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</si>
  <si>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</si>
  <si>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</si>
  <si>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</si>
  <si>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</si>
  <si>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</si>
  <si>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</si>
  <si>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</si>
  <si>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0008147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</si>
  <si>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</si>
  <si>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</si>
  <si>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</si>
  <si>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</si>
  <si>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</si>
  <si>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</si>
  <si>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</si>
  <si>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</si>
  <si>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</si>
  <si>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</si>
  <si>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</si>
  <si>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</si>
  <si>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</si>
  <si>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</si>
  <si>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</si>
  <si>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</si>
  <si>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</si>
  <si>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</si>
  <si>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</si>
  <si>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</si>
  <si>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</si>
  <si>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</si>
  <si>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</si>
  <si>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</si>
  <si>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</si>
  <si>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</si>
  <si>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</si>
  <si>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</si>
  <si>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Prot. 0006798 del 19/06/2017    Prot. 0008388 del 26/07/2017</t>
  </si>
  <si>
    <t>Ordine del 29/04/2016 prot. 1087 del 03/05/2016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</si>
  <si>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</si>
  <si>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</si>
  <si>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</si>
  <si>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</si>
  <si>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</si>
  <si>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Z3A1F900A2</t>
  </si>
  <si>
    <t>2 giornate analisi consulenza area SME</t>
  </si>
  <si>
    <t>Ordine n. 187 del 02/08/2017</t>
  </si>
  <si>
    <t>N. 5 PC Lenovo TS S510 + n. 3 licenze Office</t>
  </si>
  <si>
    <t>Ordine n. 112 del 28/04/2017    Ordine n. 188 del 04/08/2017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</si>
  <si>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</si>
  <si>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</si>
  <si>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</si>
  <si>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</si>
  <si>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</si>
  <si>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</si>
  <si>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</si>
  <si>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Ordine n. 68 del 02/03/2017   Ordine n. 107 del 07/04/2017                           Ordine n. 126 del 17/05/2017   Ordine n. 191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</si>
  <si>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</si>
  <si>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</si>
  <si>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</si>
  <si>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</si>
  <si>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</si>
  <si>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</si>
  <si>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</si>
  <si>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</si>
  <si>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</si>
  <si>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</si>
  <si>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</si>
  <si>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</si>
  <si>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</si>
  <si>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</si>
  <si>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</si>
  <si>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ZDD1FB41F1</t>
  </si>
  <si>
    <t>Bonifica e pulizia straordinaria uffici ZTL</t>
  </si>
  <si>
    <t>Ordine n. 195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</si>
  <si>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</si>
  <si>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</si>
  <si>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</si>
  <si>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</si>
  <si>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</si>
  <si>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</si>
  <si>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</si>
  <si>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</si>
  <si>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</si>
  <si>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</si>
  <si>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</si>
  <si>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</si>
  <si>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</si>
  <si>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</si>
  <si>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</si>
  <si>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</si>
  <si>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</si>
  <si>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</si>
  <si>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</si>
  <si>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</si>
  <si>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</si>
  <si>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</si>
  <si>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</si>
  <si>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</si>
  <si>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</si>
  <si>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</si>
  <si>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</si>
  <si>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</si>
  <si>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</si>
  <si>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</si>
  <si>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81 del 15/03/2017    Ordine n. 206 del 31/08/2017</t>
  </si>
  <si>
    <t>Ordine n. 106 del 05/04/2017    Ordine n. 207 del 31/08/2017</t>
  </si>
  <si>
    <t>ZA61FBFA27</t>
  </si>
  <si>
    <t>Ordine n. 209 del 31/08/2017</t>
  </si>
  <si>
    <t>Ordine n. 130 del 23/05/2017    Ordine n. 216 del 05/09/2017</t>
  </si>
  <si>
    <t>Grafotecnica G. Palenga S.n.c</t>
  </si>
  <si>
    <t>Prot. 0008671 del 02/08/2017</t>
  </si>
  <si>
    <t>Prot. 0008696 del 02/08/2017</t>
  </si>
  <si>
    <t>Prot. 0008695 del 02/08/2017</t>
  </si>
  <si>
    <t>Prot. 0005187 del 04/05/2017   Prot. 0008858 del 07/08/2017</t>
  </si>
  <si>
    <t>Prot. 0008864 del 07/08/2017</t>
  </si>
  <si>
    <t>Prot. 0009441 del 23/08/2017</t>
  </si>
  <si>
    <t>Prot. 0002686 del 07/03/2017   Prot. 0004156 del 10/04/2017                         Prot. 0005790 del 18/05/2017   Prto. 0009445 del 23/08/2017</t>
  </si>
  <si>
    <t>Prot. 0009451 del 23/08/2017</t>
  </si>
  <si>
    <t>Prot. 0009686 del 01/09/2017</t>
  </si>
  <si>
    <t>Prot. 0009631 del 29/08/2017</t>
  </si>
  <si>
    <t>Prot. 0009632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</si>
  <si>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</si>
  <si>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</si>
  <si>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</si>
  <si>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</si>
  <si>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</si>
  <si>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</si>
  <si>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</si>
  <si>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</si>
  <si>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</si>
  <si>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</si>
  <si>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0005945 del 24/05/2017       Prot. 0009765 del 06/09/2017</t>
  </si>
  <si>
    <t>Manomano.it  Giordano shop  eBay                Guerrieri sicurezza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</si>
</sst>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indent="5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vertical="center"/>
    </xf>
    <xf numFmtId="14" fontId="6" fillId="0" borderId="7" xfId="0" applyNumberFormat="1" applyFont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7" xfId="0" applyFont="1" applyBorder="1"/>
    <xf numFmtId="43" fontId="3" fillId="0" borderId="2" xfId="1" applyFont="1" applyFill="1" applyBorder="1" applyAlignment="1">
      <alignment horizontal="left" vertical="top"/>
    </xf>
    <xf numFmtId="0" fontId="16" fillId="0" borderId="2" xfId="0" applyFont="1" applyBorder="1" applyAlignment="1">
      <alignment vertical="center"/>
    </xf>
    <xf numFmtId="14" fontId="16" fillId="0" borderId="2" xfId="0" applyNumberFormat="1" applyFont="1" applyBorder="1"/>
    <xf numFmtId="0" fontId="3" fillId="0" borderId="8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4" fontId="3" fillId="0" borderId="2" xfId="3" applyNumberFormat="1" applyFont="1" applyFill="1" applyBorder="1" applyAlignment="1">
      <alignment horizontal="left" vertical="top" wrapText="1"/>
    </xf>
    <xf numFmtId="44" fontId="3" fillId="0" borderId="2" xfId="0" applyNumberFormat="1" applyFont="1" applyFill="1" applyBorder="1" applyAlignment="1">
      <alignment horizontal="right" vertical="top" wrapText="1"/>
    </xf>
    <xf numFmtId="44" fontId="3" fillId="0" borderId="7" xfId="1" applyNumberFormat="1" applyFont="1" applyFill="1" applyBorder="1" applyAlignment="1">
      <alignment horizontal="left" vertical="top" wrapText="1"/>
    </xf>
    <xf numFmtId="44" fontId="3" fillId="0" borderId="5" xfId="1" applyNumberFormat="1" applyFont="1" applyFill="1" applyBorder="1" applyAlignment="1">
      <alignment horizontal="left" vertical="top" wrapText="1"/>
    </xf>
    <xf numFmtId="44" fontId="3" fillId="0" borderId="2" xfId="1" applyNumberFormat="1" applyFont="1" applyFill="1" applyBorder="1" applyAlignment="1">
      <alignment vertical="top" wrapText="1"/>
    </xf>
    <xf numFmtId="44" fontId="6" fillId="0" borderId="7" xfId="0" applyNumberFormat="1" applyFont="1" applyBorder="1" applyAlignment="1">
      <alignment vertical="center"/>
    </xf>
    <xf numFmtId="44" fontId="3" fillId="0" borderId="2" xfId="1" applyNumberFormat="1" applyFont="1" applyFill="1" applyBorder="1" applyAlignment="1">
      <alignment horizontal="right" vertical="top" wrapText="1"/>
    </xf>
    <xf numFmtId="0" fontId="17" fillId="6" borderId="2" xfId="0" applyFont="1" applyFill="1" applyBorder="1" applyAlignment="1">
      <alignment vertical="center" wrapText="1"/>
    </xf>
    <xf numFmtId="14" fontId="6" fillId="0" borderId="2" xfId="0" applyNumberFormat="1" applyFont="1" applyBorder="1"/>
    <xf numFmtId="49" fontId="6" fillId="0" borderId="0" xfId="0" applyNumberFormat="1" applyFont="1" applyAlignment="1">
      <alignment horizontal="right"/>
    </xf>
    <xf numFmtId="8" fontId="3" fillId="0" borderId="2" xfId="1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right"/>
    </xf>
    <xf numFmtId="0" fontId="8" fillId="0" borderId="7" xfId="0" applyFont="1" applyBorder="1"/>
    <xf numFmtId="44" fontId="3" fillId="5" borderId="2" xfId="1" applyNumberFormat="1" applyFont="1" applyFill="1" applyBorder="1" applyAlignment="1">
      <alignment horizontal="left" vertical="top" wrapText="1"/>
    </xf>
    <xf numFmtId="44" fontId="6" fillId="6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49" fontId="6" fillId="0" borderId="2" xfId="0" applyNumberFormat="1" applyFont="1" applyBorder="1"/>
    <xf numFmtId="0" fontId="6" fillId="0" borderId="2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4" fontId="3" fillId="5" borderId="2" xfId="1" applyNumberFormat="1" applyFont="1" applyFill="1" applyBorder="1" applyAlignment="1">
      <alignment horizontal="right" vertical="top" wrapText="1"/>
    </xf>
    <xf numFmtId="44" fontId="8" fillId="5" borderId="2" xfId="0" applyNumberFormat="1" applyFont="1" applyFill="1" applyBorder="1" applyAlignment="1">
      <alignment vertical="center" wrapText="1"/>
    </xf>
    <xf numFmtId="44" fontId="3" fillId="5" borderId="2" xfId="1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left" vertical="top" wrapText="1"/>
    </xf>
    <xf numFmtId="0" fontId="8" fillId="5" borderId="0" xfId="0" applyFont="1" applyFill="1"/>
    <xf numFmtId="14" fontId="3" fillId="5" borderId="7" xfId="0" applyNumberFormat="1" applyFont="1" applyFill="1" applyBorder="1" applyAlignment="1">
      <alignment horizontal="left" vertical="top" wrapText="1"/>
    </xf>
    <xf numFmtId="0" fontId="6" fillId="5" borderId="0" xfId="0" applyFont="1" applyFill="1"/>
    <xf numFmtId="49" fontId="3" fillId="5" borderId="7" xfId="0" applyNumberFormat="1" applyFont="1" applyFill="1" applyBorder="1" applyAlignment="1">
      <alignment horizontal="right" vertical="top" wrapText="1"/>
    </xf>
    <xf numFmtId="44" fontId="3" fillId="5" borderId="7" xfId="1" applyNumberFormat="1" applyFont="1" applyFill="1" applyBorder="1" applyAlignment="1">
      <alignment horizontal="left"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topLeftCell="A31" workbookViewId="0">
      <selection activeCell="G217" sqref="G217"/>
    </sheetView>
  </sheetViews>
  <sheetFormatPr defaultColWidth="21.5703125" defaultRowHeight="11.25"/>
  <cols>
    <col min="1" max="1" width="12" style="1" customWidth="1"/>
    <col min="2" max="2" width="9.140625" style="1" customWidth="1"/>
    <col min="3" max="3" width="39.42578125" style="1" customWidth="1"/>
    <col min="4" max="4" width="7" style="1" customWidth="1"/>
    <col min="5" max="5" width="32" style="1" customWidth="1"/>
    <col min="6" max="6" width="14" style="1" customWidth="1"/>
    <col min="7" max="7" width="15.28515625" style="1" customWidth="1"/>
    <col min="8" max="8" width="18" style="75" customWidth="1"/>
    <col min="9" max="9" width="13.140625" style="20" customWidth="1"/>
    <col min="10" max="10" width="11" style="21" customWidth="1"/>
    <col min="11" max="11" width="10.5703125" style="21" customWidth="1"/>
    <col min="12" max="12" width="16.85546875" style="20" customWidth="1"/>
    <col min="13" max="13" width="21.28515625" style="20" customWidth="1"/>
    <col min="14" max="14" width="20.85546875" style="1" customWidth="1"/>
    <col min="15" max="16384" width="21.5703125" style="1"/>
  </cols>
  <sheetData>
    <row r="1" spans="1:14" ht="12.75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6" customFormat="1" ht="67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45" t="s">
        <v>5</v>
      </c>
      <c r="H2" s="146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7"/>
      <c r="B3" s="8"/>
      <c r="C3" s="8"/>
      <c r="D3" s="8"/>
      <c r="E3" s="8"/>
      <c r="F3" s="8"/>
      <c r="G3" s="9" t="s">
        <v>12</v>
      </c>
      <c r="H3" s="78" t="s">
        <v>13</v>
      </c>
      <c r="I3" s="10"/>
      <c r="J3" s="11"/>
      <c r="K3" s="11"/>
      <c r="L3" s="10"/>
      <c r="M3" s="10"/>
      <c r="N3" s="8"/>
    </row>
    <row r="4" spans="1:14" s="6" customFormat="1" ht="22.5">
      <c r="A4" s="65" t="s">
        <v>30</v>
      </c>
      <c r="B4" s="13">
        <v>42737</v>
      </c>
      <c r="C4" s="57" t="s">
        <v>31</v>
      </c>
      <c r="D4" s="14" t="s">
        <v>14</v>
      </c>
      <c r="E4" s="14" t="s">
        <v>15</v>
      </c>
      <c r="F4" s="14"/>
      <c r="G4" s="32" t="s">
        <v>18</v>
      </c>
      <c r="H4" s="76" t="s">
        <v>19</v>
      </c>
      <c r="I4" s="126">
        <v>1757.51</v>
      </c>
      <c r="J4" s="38">
        <v>42614</v>
      </c>
      <c r="K4" s="39">
        <v>42643</v>
      </c>
      <c r="L4" s="55">
        <v>1797.51</v>
      </c>
      <c r="M4" s="15" t="s">
        <v>785</v>
      </c>
      <c r="N4" s="34" t="s">
        <v>797</v>
      </c>
    </row>
    <row r="5" spans="1:14" ht="22.5">
      <c r="A5" s="57" t="s">
        <v>32</v>
      </c>
      <c r="B5" s="13">
        <v>42737</v>
      </c>
      <c r="C5" s="57" t="s">
        <v>33</v>
      </c>
      <c r="D5" s="14" t="s">
        <v>17</v>
      </c>
      <c r="E5" s="14" t="s">
        <v>15</v>
      </c>
      <c r="F5" s="14"/>
      <c r="G5" s="14" t="s">
        <v>24</v>
      </c>
      <c r="H5" s="26" t="s">
        <v>39</v>
      </c>
      <c r="I5" s="105">
        <v>2912.9</v>
      </c>
      <c r="J5" s="16">
        <v>42734</v>
      </c>
      <c r="K5" s="16">
        <v>42734</v>
      </c>
      <c r="L5" s="15">
        <v>2912.9</v>
      </c>
      <c r="M5" s="20" t="s">
        <v>786</v>
      </c>
      <c r="N5" s="15" t="s">
        <v>796</v>
      </c>
    </row>
    <row r="6" spans="1:14" ht="27" customHeight="1">
      <c r="A6" s="57" t="s">
        <v>34</v>
      </c>
      <c r="B6" s="13">
        <v>42738</v>
      </c>
      <c r="C6" s="57" t="s">
        <v>35</v>
      </c>
      <c r="D6" s="14" t="s">
        <v>36</v>
      </c>
      <c r="E6" s="14" t="s">
        <v>15</v>
      </c>
      <c r="F6" s="14"/>
      <c r="G6" s="14" t="s">
        <v>37</v>
      </c>
      <c r="H6" s="26" t="s">
        <v>38</v>
      </c>
      <c r="I6" s="105">
        <v>4197</v>
      </c>
      <c r="J6" s="16">
        <v>42654</v>
      </c>
      <c r="K6" s="16">
        <v>42704</v>
      </c>
      <c r="L6" s="15">
        <v>4197</v>
      </c>
      <c r="M6" s="15" t="s">
        <v>794</v>
      </c>
      <c r="N6" s="14" t="s">
        <v>798</v>
      </c>
    </row>
    <row r="7" spans="1:14" ht="24.75" customHeight="1">
      <c r="A7" s="57" t="s">
        <v>40</v>
      </c>
      <c r="B7" s="13">
        <v>42745</v>
      </c>
      <c r="C7" s="14" t="s">
        <v>41</v>
      </c>
      <c r="D7" s="14" t="s">
        <v>14</v>
      </c>
      <c r="E7" s="14" t="s">
        <v>15</v>
      </c>
      <c r="F7" s="14"/>
      <c r="G7" s="14" t="s">
        <v>42</v>
      </c>
      <c r="H7" s="31" t="s">
        <v>43</v>
      </c>
      <c r="I7" s="105">
        <v>698.07</v>
      </c>
      <c r="J7" s="16">
        <v>42385</v>
      </c>
      <c r="K7" s="16">
        <v>42392</v>
      </c>
      <c r="L7" s="118">
        <v>389.3</v>
      </c>
      <c r="M7" s="15"/>
      <c r="N7" s="14" t="s">
        <v>795</v>
      </c>
    </row>
    <row r="8" spans="1:14" ht="22.5">
      <c r="A8" s="1" t="s">
        <v>44</v>
      </c>
      <c r="B8" s="13">
        <v>42747</v>
      </c>
      <c r="C8" s="14" t="s">
        <v>45</v>
      </c>
      <c r="D8" s="14" t="s">
        <v>17</v>
      </c>
      <c r="E8" s="14" t="s">
        <v>15</v>
      </c>
      <c r="F8" s="14"/>
      <c r="G8" s="14" t="s">
        <v>46</v>
      </c>
      <c r="H8" s="31" t="s">
        <v>47</v>
      </c>
      <c r="I8" s="105">
        <v>800</v>
      </c>
      <c r="J8" s="16">
        <v>42748</v>
      </c>
      <c r="K8" s="16">
        <v>42751</v>
      </c>
      <c r="L8" s="15">
        <v>800</v>
      </c>
      <c r="M8" s="15" t="s">
        <v>787</v>
      </c>
      <c r="N8" s="14" t="s">
        <v>48</v>
      </c>
    </row>
    <row r="9" spans="1:14" ht="22.5">
      <c r="A9" s="14" t="s">
        <v>53</v>
      </c>
      <c r="B9" s="13">
        <v>42747</v>
      </c>
      <c r="C9" s="14" t="s">
        <v>49</v>
      </c>
      <c r="D9" s="14" t="s">
        <v>36</v>
      </c>
      <c r="E9" s="14" t="s">
        <v>15</v>
      </c>
      <c r="F9" s="14"/>
      <c r="G9" s="14" t="s">
        <v>50</v>
      </c>
      <c r="H9" s="31" t="s">
        <v>51</v>
      </c>
      <c r="I9" s="105">
        <v>221</v>
      </c>
      <c r="J9" s="16">
        <v>42705</v>
      </c>
      <c r="K9" s="16">
        <v>42717</v>
      </c>
      <c r="L9" s="15">
        <v>221</v>
      </c>
      <c r="M9" s="15" t="s">
        <v>788</v>
      </c>
      <c r="N9" s="14" t="s">
        <v>52</v>
      </c>
    </row>
    <row r="10" spans="1:14" ht="22.5">
      <c r="A10" s="14" t="s">
        <v>54</v>
      </c>
      <c r="B10" s="13">
        <v>42747</v>
      </c>
      <c r="C10" s="14" t="s">
        <v>55</v>
      </c>
      <c r="D10" s="14" t="s">
        <v>14</v>
      </c>
      <c r="E10" s="14" t="s">
        <v>15</v>
      </c>
      <c r="F10" s="14"/>
      <c r="G10" s="14" t="s">
        <v>56</v>
      </c>
      <c r="H10" s="27" t="s">
        <v>57</v>
      </c>
      <c r="I10" s="105">
        <v>288.95</v>
      </c>
      <c r="J10" s="16">
        <v>42744</v>
      </c>
      <c r="K10" s="16">
        <v>42760</v>
      </c>
      <c r="L10" s="15">
        <v>288.95</v>
      </c>
      <c r="M10" s="15" t="s">
        <v>789</v>
      </c>
      <c r="N10" s="14" t="s">
        <v>58</v>
      </c>
    </row>
    <row r="11" spans="1:14" ht="22.5">
      <c r="A11" s="14" t="s">
        <v>60</v>
      </c>
      <c r="B11" s="13">
        <v>42748</v>
      </c>
      <c r="C11" s="14" t="s">
        <v>61</v>
      </c>
      <c r="D11" s="14" t="s">
        <v>36</v>
      </c>
      <c r="E11" s="14" t="s">
        <v>15</v>
      </c>
      <c r="F11" s="14"/>
      <c r="G11" s="14" t="s">
        <v>62</v>
      </c>
      <c r="H11" s="75" t="s">
        <v>63</v>
      </c>
      <c r="I11" s="105">
        <v>60</v>
      </c>
      <c r="J11" s="16">
        <v>42748</v>
      </c>
      <c r="K11" s="16">
        <v>42748</v>
      </c>
      <c r="L11" s="15">
        <v>60</v>
      </c>
      <c r="M11" s="15" t="s">
        <v>790</v>
      </c>
      <c r="N11" s="14" t="s">
        <v>64</v>
      </c>
    </row>
    <row r="12" spans="1:14" ht="22.5">
      <c r="A12" s="14" t="s">
        <v>65</v>
      </c>
      <c r="B12" s="13">
        <v>42748</v>
      </c>
      <c r="C12" s="106" t="s">
        <v>66</v>
      </c>
      <c r="D12" s="14" t="s">
        <v>14</v>
      </c>
      <c r="E12" s="14" t="s">
        <v>15</v>
      </c>
      <c r="F12" s="14"/>
      <c r="G12" s="14" t="s">
        <v>67</v>
      </c>
      <c r="H12" s="27" t="s">
        <v>68</v>
      </c>
      <c r="I12" s="105">
        <v>1820</v>
      </c>
      <c r="J12" s="16">
        <v>42748</v>
      </c>
      <c r="K12" s="16">
        <v>42748</v>
      </c>
      <c r="L12" s="15">
        <v>1820</v>
      </c>
      <c r="M12" s="15" t="s">
        <v>791</v>
      </c>
      <c r="N12" s="14" t="s">
        <v>69</v>
      </c>
    </row>
    <row r="13" spans="1:14" ht="22.5">
      <c r="A13" s="14" t="s">
        <v>78</v>
      </c>
      <c r="B13" s="13">
        <v>42748</v>
      </c>
      <c r="C13" s="14" t="s">
        <v>70</v>
      </c>
      <c r="D13" s="14" t="s">
        <v>14</v>
      </c>
      <c r="E13" s="14" t="s">
        <v>15</v>
      </c>
      <c r="F13" s="14"/>
      <c r="G13" s="14" t="s">
        <v>71</v>
      </c>
      <c r="H13" s="27" t="s">
        <v>72</v>
      </c>
      <c r="I13" s="127">
        <v>1250</v>
      </c>
      <c r="J13" s="16">
        <v>42748</v>
      </c>
      <c r="K13" s="16">
        <v>42748</v>
      </c>
      <c r="L13" s="15">
        <v>1250</v>
      </c>
      <c r="M13" s="15" t="s">
        <v>793</v>
      </c>
      <c r="N13" s="14" t="s">
        <v>73</v>
      </c>
    </row>
    <row r="14" spans="1:14" ht="22.5">
      <c r="A14" s="14" t="s">
        <v>74</v>
      </c>
      <c r="B14" s="24">
        <v>42751</v>
      </c>
      <c r="C14" s="57" t="s">
        <v>75</v>
      </c>
      <c r="D14" s="14" t="s">
        <v>14</v>
      </c>
      <c r="E14" s="14" t="s">
        <v>15</v>
      </c>
      <c r="F14" s="14"/>
      <c r="G14" s="14" t="s">
        <v>76</v>
      </c>
      <c r="H14" s="26" t="s">
        <v>77</v>
      </c>
      <c r="I14" s="105">
        <v>100</v>
      </c>
      <c r="J14" s="16">
        <v>42767</v>
      </c>
      <c r="K14" s="16">
        <v>43131</v>
      </c>
      <c r="L14" s="15">
        <f>7.6/1.22+5.68+0.23</f>
        <v>12.139508196721312</v>
      </c>
      <c r="M14" s="15"/>
      <c r="N14" s="14"/>
    </row>
    <row r="15" spans="1:14" ht="33.75">
      <c r="A15" s="14" t="s">
        <v>79</v>
      </c>
      <c r="B15" s="24">
        <v>42751</v>
      </c>
      <c r="C15" s="14" t="s">
        <v>80</v>
      </c>
      <c r="D15" s="14" t="s">
        <v>36</v>
      </c>
      <c r="E15" s="14" t="s">
        <v>15</v>
      </c>
      <c r="F15" s="14"/>
      <c r="G15" s="14" t="s">
        <v>81</v>
      </c>
      <c r="H15" s="27" t="s">
        <v>82</v>
      </c>
      <c r="I15" s="105">
        <v>850</v>
      </c>
      <c r="J15" s="16">
        <v>42748</v>
      </c>
      <c r="K15" s="16">
        <v>42748</v>
      </c>
      <c r="L15" s="15">
        <v>850</v>
      </c>
      <c r="M15" s="15" t="s">
        <v>792</v>
      </c>
      <c r="N15" s="14" t="s">
        <v>87</v>
      </c>
    </row>
    <row r="16" spans="1:14" ht="33.75">
      <c r="A16" s="14" t="s">
        <v>88</v>
      </c>
      <c r="B16" s="24">
        <v>42751</v>
      </c>
      <c r="C16" s="14" t="s">
        <v>83</v>
      </c>
      <c r="D16" s="14" t="s">
        <v>14</v>
      </c>
      <c r="E16" s="14" t="s">
        <v>15</v>
      </c>
      <c r="F16" s="14"/>
      <c r="G16" s="14" t="s">
        <v>84</v>
      </c>
      <c r="H16" s="27" t="s">
        <v>85</v>
      </c>
      <c r="I16" s="105">
        <v>408</v>
      </c>
      <c r="J16" s="16">
        <v>42736</v>
      </c>
      <c r="K16" s="16">
        <v>42773</v>
      </c>
      <c r="L16" s="15">
        <v>408</v>
      </c>
      <c r="M16" s="15" t="s">
        <v>764</v>
      </c>
      <c r="N16" s="14" t="s">
        <v>86</v>
      </c>
    </row>
    <row r="17" spans="1:14" ht="22.5">
      <c r="A17" s="14" t="s">
        <v>89</v>
      </c>
      <c r="B17" s="24">
        <v>42751</v>
      </c>
      <c r="C17" s="14" t="s">
        <v>90</v>
      </c>
      <c r="D17" s="14" t="s">
        <v>14</v>
      </c>
      <c r="E17" s="14" t="s">
        <v>15</v>
      </c>
      <c r="F17" s="14"/>
      <c r="G17" s="14" t="s">
        <v>91</v>
      </c>
      <c r="H17" s="27" t="s">
        <v>92</v>
      </c>
      <c r="I17" s="105">
        <v>2416</v>
      </c>
      <c r="J17" s="16">
        <v>42751</v>
      </c>
      <c r="K17" s="16">
        <v>42760</v>
      </c>
      <c r="L17" s="15">
        <v>2451</v>
      </c>
      <c r="M17" s="15" t="s">
        <v>763</v>
      </c>
      <c r="N17" s="14" t="s">
        <v>93</v>
      </c>
    </row>
    <row r="18" spans="1:14" ht="22.5">
      <c r="A18" s="109" t="s">
        <v>94</v>
      </c>
      <c r="B18" s="24">
        <v>42752</v>
      </c>
      <c r="C18" s="107" t="s">
        <v>95</v>
      </c>
      <c r="D18" s="14" t="s">
        <v>36</v>
      </c>
      <c r="E18" s="107" t="s">
        <v>96</v>
      </c>
      <c r="F18" s="108"/>
      <c r="G18" s="35" t="s">
        <v>312</v>
      </c>
      <c r="H18" s="53" t="s">
        <v>452</v>
      </c>
      <c r="I18" s="105">
        <v>187750</v>
      </c>
      <c r="J18" s="16">
        <v>42826</v>
      </c>
      <c r="K18" s="16">
        <v>43555</v>
      </c>
      <c r="L18" s="15"/>
      <c r="M18" s="15" t="s">
        <v>799</v>
      </c>
      <c r="N18" s="14" t="s">
        <v>800</v>
      </c>
    </row>
    <row r="19" spans="1:14" ht="33.75">
      <c r="A19" s="14" t="s">
        <v>97</v>
      </c>
      <c r="B19" s="24">
        <v>42752</v>
      </c>
      <c r="C19" s="14" t="s">
        <v>98</v>
      </c>
      <c r="D19" s="14" t="s">
        <v>14</v>
      </c>
      <c r="E19" s="14" t="s">
        <v>15</v>
      </c>
      <c r="F19" s="14"/>
      <c r="G19" s="14" t="s">
        <v>91</v>
      </c>
      <c r="H19" s="27" t="s">
        <v>92</v>
      </c>
      <c r="I19" s="105">
        <v>2320</v>
      </c>
      <c r="J19" s="16">
        <v>42751</v>
      </c>
      <c r="K19" s="16">
        <v>42760</v>
      </c>
      <c r="L19" s="15">
        <v>2330</v>
      </c>
      <c r="M19" s="15" t="s">
        <v>761</v>
      </c>
      <c r="N19" s="14" t="s">
        <v>99</v>
      </c>
    </row>
    <row r="20" spans="1:14" ht="22.5">
      <c r="A20" s="14" t="s">
        <v>100</v>
      </c>
      <c r="B20" s="24">
        <v>42752</v>
      </c>
      <c r="C20" s="14" t="s">
        <v>101</v>
      </c>
      <c r="D20" s="14" t="s">
        <v>17</v>
      </c>
      <c r="E20" s="14" t="s">
        <v>15</v>
      </c>
      <c r="F20" s="14"/>
      <c r="G20" s="14" t="s">
        <v>102</v>
      </c>
      <c r="H20" s="27" t="s">
        <v>103</v>
      </c>
      <c r="I20" s="105">
        <v>2720</v>
      </c>
      <c r="J20" s="16">
        <v>42755</v>
      </c>
      <c r="K20" s="16">
        <v>42765</v>
      </c>
      <c r="L20" s="15">
        <v>2720</v>
      </c>
      <c r="M20" s="15" t="s">
        <v>762</v>
      </c>
      <c r="N20" s="14" t="s">
        <v>104</v>
      </c>
    </row>
    <row r="21" spans="1:14" ht="22.5">
      <c r="A21" s="67" t="s">
        <v>105</v>
      </c>
      <c r="B21" s="24">
        <v>42752</v>
      </c>
      <c r="C21" s="14" t="s">
        <v>106</v>
      </c>
      <c r="D21" s="14" t="s">
        <v>36</v>
      </c>
      <c r="E21" s="14" t="s">
        <v>15</v>
      </c>
      <c r="F21" s="14"/>
      <c r="G21" s="14" t="s">
        <v>107</v>
      </c>
      <c r="H21" s="27" t="s">
        <v>108</v>
      </c>
      <c r="I21" s="105">
        <v>120</v>
      </c>
      <c r="J21" s="16">
        <v>42753</v>
      </c>
      <c r="K21" s="16">
        <v>42753</v>
      </c>
      <c r="L21" s="15">
        <v>120</v>
      </c>
      <c r="M21" s="20" t="s">
        <v>778</v>
      </c>
      <c r="N21" s="14" t="s">
        <v>109</v>
      </c>
    </row>
    <row r="22" spans="1:14" ht="22.5">
      <c r="A22" s="62" t="s">
        <v>110</v>
      </c>
      <c r="B22" s="24">
        <v>42753</v>
      </c>
      <c r="C22" s="14" t="s">
        <v>630</v>
      </c>
      <c r="D22" s="14" t="s">
        <v>14</v>
      </c>
      <c r="E22" s="14" t="s">
        <v>15</v>
      </c>
      <c r="F22" s="14"/>
      <c r="G22" s="14" t="s">
        <v>116</v>
      </c>
      <c r="H22" s="23"/>
      <c r="I22" s="105">
        <v>9245</v>
      </c>
      <c r="J22" s="49"/>
      <c r="K22" s="49"/>
      <c r="L22" s="15">
        <f>385.27+352.03+321.95+331.52+(388.86/1.22)+(284.43/1.22)+275.1</f>
        <v>2217.7470491803278</v>
      </c>
      <c r="M22" s="15"/>
    </row>
    <row r="23" spans="1:14" ht="22.5">
      <c r="A23" s="62" t="s">
        <v>187</v>
      </c>
      <c r="B23" s="24">
        <v>42753</v>
      </c>
      <c r="C23" s="14" t="s">
        <v>188</v>
      </c>
      <c r="D23" s="14" t="s">
        <v>36</v>
      </c>
      <c r="E23" s="14" t="s">
        <v>15</v>
      </c>
      <c r="F23" s="14"/>
      <c r="G23" s="14" t="s">
        <v>189</v>
      </c>
      <c r="H23" s="27" t="s">
        <v>59</v>
      </c>
      <c r="I23" s="105">
        <v>179.14</v>
      </c>
      <c r="J23" s="16">
        <v>42263</v>
      </c>
      <c r="K23" s="16">
        <v>42994</v>
      </c>
      <c r="L23" s="15"/>
      <c r="M23" s="15" t="s">
        <v>777</v>
      </c>
      <c r="N23" s="14" t="s">
        <v>190</v>
      </c>
    </row>
    <row r="24" spans="1:14" s="47" customFormat="1" ht="22.5">
      <c r="A24" s="32" t="s">
        <v>111</v>
      </c>
      <c r="B24" s="51">
        <v>42754</v>
      </c>
      <c r="C24" s="32" t="s">
        <v>115</v>
      </c>
      <c r="D24" s="37" t="s">
        <v>14</v>
      </c>
      <c r="E24" s="37" t="s">
        <v>15</v>
      </c>
      <c r="F24" s="37"/>
      <c r="G24" s="37" t="s">
        <v>112</v>
      </c>
      <c r="H24" s="46"/>
      <c r="I24" s="139">
        <v>6500</v>
      </c>
      <c r="J24" s="49">
        <v>42705</v>
      </c>
      <c r="K24" s="49">
        <v>43069</v>
      </c>
      <c r="L24" s="36">
        <f>691.53+766.32+661.8+608.21+608.59+602.35</f>
        <v>3938.7999999999997</v>
      </c>
      <c r="M24" s="36"/>
      <c r="N24" s="37"/>
    </row>
    <row r="25" spans="1:14" s="47" customFormat="1" ht="22.5">
      <c r="A25" s="32" t="s">
        <v>113</v>
      </c>
      <c r="B25" s="51">
        <v>42754</v>
      </c>
      <c r="C25" s="32" t="s">
        <v>114</v>
      </c>
      <c r="D25" s="37" t="s">
        <v>14</v>
      </c>
      <c r="E25" s="37" t="s">
        <v>15</v>
      </c>
      <c r="F25" s="37"/>
      <c r="G25" s="37" t="s">
        <v>112</v>
      </c>
      <c r="H25" s="46"/>
      <c r="I25" s="139">
        <v>13750</v>
      </c>
      <c r="J25" s="49">
        <v>42705</v>
      </c>
      <c r="K25" s="49">
        <v>43069</v>
      </c>
      <c r="L25" s="36">
        <f>1613.08+1596.97+1326.03+1313.37+1196.42+1216.13</f>
        <v>8262</v>
      </c>
      <c r="M25" s="36"/>
      <c r="N25" s="37"/>
    </row>
    <row r="26" spans="1:14" ht="22.5">
      <c r="A26" s="57" t="s">
        <v>117</v>
      </c>
      <c r="B26" s="24">
        <v>42755</v>
      </c>
      <c r="C26" s="57" t="s">
        <v>118</v>
      </c>
      <c r="D26" s="14" t="s">
        <v>36</v>
      </c>
      <c r="E26" s="14" t="s">
        <v>15</v>
      </c>
      <c r="F26" s="14"/>
      <c r="G26" s="14" t="s">
        <v>119</v>
      </c>
      <c r="H26" s="26" t="s">
        <v>120</v>
      </c>
      <c r="I26" s="105">
        <v>2000</v>
      </c>
      <c r="J26" s="16">
        <v>42736</v>
      </c>
      <c r="K26" s="16">
        <v>43100</v>
      </c>
      <c r="L26" s="15">
        <f>500+750</f>
        <v>1250</v>
      </c>
      <c r="M26" s="15" t="s">
        <v>765</v>
      </c>
      <c r="N26" s="14" t="s">
        <v>220</v>
      </c>
    </row>
    <row r="27" spans="1:14" ht="22.5">
      <c r="A27" s="14" t="s">
        <v>121</v>
      </c>
      <c r="B27" s="24">
        <v>42755</v>
      </c>
      <c r="C27" s="14" t="s">
        <v>122</v>
      </c>
      <c r="D27" s="14" t="s">
        <v>14</v>
      </c>
      <c r="E27" s="14" t="s">
        <v>15</v>
      </c>
      <c r="F27" s="14"/>
      <c r="G27" s="14" t="s">
        <v>123</v>
      </c>
      <c r="H27" s="27" t="s">
        <v>124</v>
      </c>
      <c r="I27" s="105">
        <v>255</v>
      </c>
      <c r="J27" s="16">
        <v>42688</v>
      </c>
      <c r="K27" s="16">
        <v>42718</v>
      </c>
      <c r="L27" s="15">
        <v>292</v>
      </c>
      <c r="M27" s="15" t="s">
        <v>766</v>
      </c>
      <c r="N27" s="14" t="s">
        <v>125</v>
      </c>
    </row>
    <row r="28" spans="1:14" ht="22.5">
      <c r="A28" s="57" t="s">
        <v>126</v>
      </c>
      <c r="B28" s="24">
        <v>42755</v>
      </c>
      <c r="C28" s="57" t="s">
        <v>127</v>
      </c>
      <c r="D28" s="14" t="s">
        <v>17</v>
      </c>
      <c r="E28" s="107" t="s">
        <v>96</v>
      </c>
      <c r="F28" s="14"/>
      <c r="G28" s="35" t="s">
        <v>528</v>
      </c>
      <c r="H28" s="35">
        <v>1490540554</v>
      </c>
      <c r="I28" s="105">
        <v>24329</v>
      </c>
      <c r="J28" s="16">
        <v>42781</v>
      </c>
      <c r="K28" s="16">
        <v>42809</v>
      </c>
      <c r="L28" s="15">
        <f>24573.56/1.22</f>
        <v>20142.262295081968</v>
      </c>
      <c r="M28" s="15"/>
      <c r="N28" s="14"/>
    </row>
    <row r="29" spans="1:14" ht="22.5">
      <c r="A29" s="1" t="s">
        <v>128</v>
      </c>
      <c r="B29" s="95">
        <v>42755</v>
      </c>
      <c r="C29" s="96" t="s">
        <v>129</v>
      </c>
      <c r="D29" s="96" t="s">
        <v>14</v>
      </c>
      <c r="E29" s="96" t="s">
        <v>15</v>
      </c>
      <c r="F29" s="96"/>
      <c r="G29" s="96" t="s">
        <v>130</v>
      </c>
      <c r="H29" s="110" t="s">
        <v>131</v>
      </c>
      <c r="I29" s="128">
        <v>765</v>
      </c>
      <c r="J29" s="100">
        <v>42786</v>
      </c>
      <c r="K29" s="100">
        <v>42786</v>
      </c>
      <c r="L29" s="99">
        <f>548.1+234.9</f>
        <v>783</v>
      </c>
      <c r="M29" s="99" t="s">
        <v>776</v>
      </c>
      <c r="N29" s="96" t="s">
        <v>132</v>
      </c>
    </row>
    <row r="30" spans="1:14" ht="22.5">
      <c r="A30" s="14" t="s">
        <v>133</v>
      </c>
      <c r="B30" s="24">
        <v>42755</v>
      </c>
      <c r="C30" s="14" t="s">
        <v>134</v>
      </c>
      <c r="D30" s="14" t="s">
        <v>14</v>
      </c>
      <c r="E30" s="14" t="s">
        <v>15</v>
      </c>
      <c r="F30" s="14"/>
      <c r="G30" s="14" t="s">
        <v>135</v>
      </c>
      <c r="H30" s="26" t="s">
        <v>136</v>
      </c>
      <c r="I30" s="105">
        <v>284.92</v>
      </c>
      <c r="J30" s="16">
        <v>42758</v>
      </c>
      <c r="K30" s="16">
        <v>42762</v>
      </c>
      <c r="L30" s="15">
        <v>284.92</v>
      </c>
      <c r="M30" s="15" t="s">
        <v>779</v>
      </c>
      <c r="N30" s="14" t="s">
        <v>137</v>
      </c>
    </row>
    <row r="31" spans="1:14" ht="22.5">
      <c r="A31" s="111" t="s">
        <v>186</v>
      </c>
      <c r="B31" s="24">
        <v>42758</v>
      </c>
      <c r="C31" s="14" t="s">
        <v>138</v>
      </c>
      <c r="D31" s="14" t="s">
        <v>36</v>
      </c>
      <c r="E31" s="14" t="s">
        <v>15</v>
      </c>
      <c r="F31" s="14"/>
      <c r="G31" s="14" t="s">
        <v>139</v>
      </c>
      <c r="H31" s="26" t="s">
        <v>140</v>
      </c>
      <c r="I31" s="105">
        <v>2500</v>
      </c>
      <c r="J31" s="16">
        <v>42759</v>
      </c>
      <c r="K31" s="16">
        <v>42763</v>
      </c>
      <c r="L31" s="15">
        <v>2250</v>
      </c>
      <c r="M31" s="15" t="s">
        <v>780</v>
      </c>
      <c r="N31" s="14" t="s">
        <v>141</v>
      </c>
    </row>
    <row r="32" spans="1:14" ht="22.5">
      <c r="A32" s="14" t="s">
        <v>142</v>
      </c>
      <c r="B32" s="24">
        <v>42760</v>
      </c>
      <c r="C32" s="14" t="s">
        <v>143</v>
      </c>
      <c r="D32" s="14" t="s">
        <v>17</v>
      </c>
      <c r="E32" s="14" t="s">
        <v>15</v>
      </c>
      <c r="F32" s="14"/>
      <c r="G32" s="14" t="s">
        <v>144</v>
      </c>
      <c r="H32" s="26" t="s">
        <v>145</v>
      </c>
      <c r="I32" s="105">
        <v>150</v>
      </c>
      <c r="J32" s="16">
        <v>42745</v>
      </c>
      <c r="K32" s="16">
        <v>42385</v>
      </c>
      <c r="L32" s="15">
        <v>150</v>
      </c>
      <c r="M32" s="15" t="s">
        <v>781</v>
      </c>
      <c r="N32" s="14" t="s">
        <v>146</v>
      </c>
    </row>
    <row r="33" spans="1:14" ht="22.5">
      <c r="A33" s="1" t="s">
        <v>147</v>
      </c>
      <c r="B33" s="95">
        <v>42760</v>
      </c>
      <c r="C33" s="1" t="s">
        <v>148</v>
      </c>
      <c r="D33" s="1" t="s">
        <v>17</v>
      </c>
      <c r="E33" s="96" t="s">
        <v>15</v>
      </c>
      <c r="G33" s="96" t="s">
        <v>144</v>
      </c>
      <c r="H33" s="110" t="s">
        <v>145</v>
      </c>
      <c r="I33" s="105">
        <v>80</v>
      </c>
      <c r="J33" s="16">
        <v>42747</v>
      </c>
      <c r="K33" s="16">
        <v>42747</v>
      </c>
      <c r="L33" s="15">
        <v>80</v>
      </c>
      <c r="M33" s="15" t="s">
        <v>782</v>
      </c>
      <c r="N33" s="14" t="s">
        <v>149</v>
      </c>
    </row>
    <row r="34" spans="1:14" ht="33.75">
      <c r="A34" s="14" t="s">
        <v>150</v>
      </c>
      <c r="B34" s="24">
        <v>42760</v>
      </c>
      <c r="C34" s="14" t="s">
        <v>151</v>
      </c>
      <c r="D34" s="14" t="s">
        <v>17</v>
      </c>
      <c r="E34" s="14" t="s">
        <v>15</v>
      </c>
      <c r="F34" s="14"/>
      <c r="G34" s="14" t="s">
        <v>144</v>
      </c>
      <c r="H34" s="26" t="s">
        <v>145</v>
      </c>
      <c r="I34" s="105">
        <v>250</v>
      </c>
      <c r="J34" s="16">
        <v>42749</v>
      </c>
      <c r="K34" s="16">
        <v>42749</v>
      </c>
      <c r="L34" s="15">
        <v>250</v>
      </c>
      <c r="M34" s="15" t="s">
        <v>783</v>
      </c>
      <c r="N34" s="14" t="s">
        <v>152</v>
      </c>
    </row>
    <row r="35" spans="1:14" ht="33.75">
      <c r="A35" s="14" t="s">
        <v>153</v>
      </c>
      <c r="B35" s="24">
        <v>42760</v>
      </c>
      <c r="C35" s="14" t="s">
        <v>154</v>
      </c>
      <c r="D35" s="14" t="s">
        <v>36</v>
      </c>
      <c r="E35" s="14" t="s">
        <v>15</v>
      </c>
      <c r="F35" s="14"/>
      <c r="G35" s="14" t="s">
        <v>155</v>
      </c>
      <c r="H35" s="26" t="s">
        <v>156</v>
      </c>
      <c r="I35" s="105">
        <v>2250</v>
      </c>
      <c r="J35" s="16">
        <v>42760</v>
      </c>
      <c r="K35" s="16">
        <v>42760</v>
      </c>
      <c r="L35" s="15">
        <v>1800.3</v>
      </c>
      <c r="M35" s="15" t="s">
        <v>784</v>
      </c>
      <c r="N35" s="14" t="s">
        <v>165</v>
      </c>
    </row>
    <row r="36" spans="1:14" ht="22.5">
      <c r="A36" s="57" t="s">
        <v>157</v>
      </c>
      <c r="B36" s="24">
        <v>42761</v>
      </c>
      <c r="C36" s="57" t="s">
        <v>158</v>
      </c>
      <c r="D36" s="14" t="s">
        <v>14</v>
      </c>
      <c r="E36" s="14" t="s">
        <v>15</v>
      </c>
      <c r="F36" s="14"/>
      <c r="G36" s="14" t="s">
        <v>163</v>
      </c>
      <c r="H36" s="26" t="s">
        <v>124</v>
      </c>
      <c r="I36" s="105">
        <v>100</v>
      </c>
      <c r="J36" s="16">
        <v>42761</v>
      </c>
      <c r="K36" s="16">
        <v>42761</v>
      </c>
      <c r="L36" s="15">
        <v>100</v>
      </c>
      <c r="M36" s="15" t="s">
        <v>801</v>
      </c>
      <c r="N36" s="14" t="s">
        <v>164</v>
      </c>
    </row>
    <row r="37" spans="1:14" ht="22.5">
      <c r="A37" s="57" t="s">
        <v>159</v>
      </c>
      <c r="B37" s="24">
        <v>42761</v>
      </c>
      <c r="C37" s="57" t="s">
        <v>160</v>
      </c>
      <c r="D37" s="14" t="s">
        <v>14</v>
      </c>
      <c r="E37" s="14" t="s">
        <v>15</v>
      </c>
      <c r="F37" s="14"/>
      <c r="G37" s="14" t="s">
        <v>161</v>
      </c>
      <c r="H37" s="26" t="s">
        <v>162</v>
      </c>
      <c r="I37" s="105">
        <v>364.1</v>
      </c>
      <c r="J37" s="16">
        <v>42765</v>
      </c>
      <c r="K37" s="16">
        <v>42765</v>
      </c>
      <c r="L37" s="15"/>
      <c r="M37" s="15" t="s">
        <v>760</v>
      </c>
      <c r="N37" s="14" t="s">
        <v>362</v>
      </c>
    </row>
    <row r="38" spans="1:14" ht="22.5">
      <c r="A38" s="14" t="s">
        <v>166</v>
      </c>
      <c r="B38" s="24">
        <v>42761</v>
      </c>
      <c r="C38" s="14" t="s">
        <v>167</v>
      </c>
      <c r="D38" s="14" t="s">
        <v>36</v>
      </c>
      <c r="E38" s="14" t="s">
        <v>15</v>
      </c>
      <c r="F38" s="14"/>
      <c r="G38" s="14" t="s">
        <v>168</v>
      </c>
      <c r="H38" s="26" t="s">
        <v>169</v>
      </c>
      <c r="I38" s="105">
        <v>400</v>
      </c>
      <c r="J38" s="16">
        <v>42763</v>
      </c>
      <c r="K38" s="16">
        <v>42794</v>
      </c>
      <c r="L38" s="15">
        <v>400</v>
      </c>
      <c r="M38" s="15" t="s">
        <v>767</v>
      </c>
      <c r="N38" s="14" t="s">
        <v>170</v>
      </c>
    </row>
    <row r="39" spans="1:14" ht="22.5">
      <c r="A39" s="14" t="s">
        <v>171</v>
      </c>
      <c r="B39" s="24">
        <v>42762</v>
      </c>
      <c r="C39" s="14" t="s">
        <v>172</v>
      </c>
      <c r="D39" s="14" t="s">
        <v>14</v>
      </c>
      <c r="E39" s="14" t="s">
        <v>15</v>
      </c>
      <c r="F39" s="14"/>
      <c r="G39" s="14" t="s">
        <v>173</v>
      </c>
      <c r="H39" s="26" t="s">
        <v>174</v>
      </c>
      <c r="I39" s="105">
        <v>3400</v>
      </c>
      <c r="J39" s="16">
        <v>42786</v>
      </c>
      <c r="K39" s="16">
        <v>42786</v>
      </c>
      <c r="L39" s="15">
        <v>3400</v>
      </c>
      <c r="M39" s="15" t="s">
        <v>769</v>
      </c>
      <c r="N39" s="14" t="s">
        <v>177</v>
      </c>
    </row>
    <row r="40" spans="1:14" ht="22.5">
      <c r="A40" s="14" t="s">
        <v>175</v>
      </c>
      <c r="B40" s="24">
        <v>42762</v>
      </c>
      <c r="C40" s="14" t="s">
        <v>176</v>
      </c>
      <c r="D40" s="14" t="s">
        <v>36</v>
      </c>
      <c r="E40" s="14" t="s">
        <v>15</v>
      </c>
      <c r="F40" s="14"/>
      <c r="G40" s="14" t="s">
        <v>62</v>
      </c>
      <c r="H40" s="23" t="s">
        <v>63</v>
      </c>
      <c r="I40" s="105">
        <v>100</v>
      </c>
      <c r="J40" s="16">
        <v>42762</v>
      </c>
      <c r="K40" s="16">
        <v>42762</v>
      </c>
      <c r="L40" s="15">
        <v>100</v>
      </c>
      <c r="M40" s="15"/>
    </row>
    <row r="41" spans="1:14" ht="22.5">
      <c r="A41" s="1" t="s">
        <v>178</v>
      </c>
      <c r="B41" s="24">
        <v>42765</v>
      </c>
      <c r="C41" s="14" t="s">
        <v>179</v>
      </c>
      <c r="D41" s="14" t="s">
        <v>36</v>
      </c>
      <c r="E41" s="14" t="s">
        <v>15</v>
      </c>
      <c r="F41" s="14"/>
      <c r="G41" s="14" t="s">
        <v>180</v>
      </c>
      <c r="H41" s="26" t="s">
        <v>181</v>
      </c>
      <c r="I41" s="105">
        <v>1087.95</v>
      </c>
      <c r="J41" s="16">
        <v>42758</v>
      </c>
      <c r="K41" s="16">
        <v>42789</v>
      </c>
      <c r="L41" s="15">
        <v>1087.95</v>
      </c>
      <c r="M41" s="15" t="s">
        <v>768</v>
      </c>
      <c r="N41" s="14" t="s">
        <v>185</v>
      </c>
    </row>
    <row r="42" spans="1:14" ht="22.5">
      <c r="A42" s="14" t="s">
        <v>182</v>
      </c>
      <c r="B42" s="24">
        <v>42766</v>
      </c>
      <c r="C42" s="14" t="s">
        <v>183</v>
      </c>
      <c r="D42" s="14" t="s">
        <v>17</v>
      </c>
      <c r="E42" s="14" t="s">
        <v>15</v>
      </c>
      <c r="F42" s="14"/>
      <c r="G42" s="14" t="s">
        <v>144</v>
      </c>
      <c r="H42" s="26" t="s">
        <v>145</v>
      </c>
      <c r="I42" s="105">
        <v>90</v>
      </c>
      <c r="J42" s="16">
        <v>42691</v>
      </c>
      <c r="K42" s="16">
        <v>42691</v>
      </c>
      <c r="L42" s="15">
        <v>90</v>
      </c>
      <c r="M42" s="15" t="s">
        <v>770</v>
      </c>
      <c r="N42" s="14" t="s">
        <v>184</v>
      </c>
    </row>
    <row r="43" spans="1:14" ht="22.5">
      <c r="A43" s="1" t="s">
        <v>191</v>
      </c>
      <c r="B43" s="95">
        <v>42767</v>
      </c>
      <c r="C43" s="96" t="s">
        <v>192</v>
      </c>
      <c r="D43" s="96" t="s">
        <v>17</v>
      </c>
      <c r="E43" s="96" t="s">
        <v>15</v>
      </c>
      <c r="F43" s="96"/>
      <c r="G43" s="96" t="s">
        <v>144</v>
      </c>
      <c r="H43" s="110" t="s">
        <v>145</v>
      </c>
      <c r="I43" s="128">
        <v>525</v>
      </c>
      <c r="J43" s="100">
        <v>42681</v>
      </c>
      <c r="K43" s="112">
        <v>43048</v>
      </c>
      <c r="L43" s="99">
        <v>525</v>
      </c>
      <c r="M43" s="99" t="s">
        <v>772</v>
      </c>
      <c r="N43" s="96" t="s">
        <v>193</v>
      </c>
    </row>
    <row r="44" spans="1:14" ht="22.5">
      <c r="A44" s="14" t="s">
        <v>194</v>
      </c>
      <c r="B44" s="24">
        <v>42768</v>
      </c>
      <c r="C44" s="14" t="s">
        <v>195</v>
      </c>
      <c r="D44" s="14" t="s">
        <v>17</v>
      </c>
      <c r="E44" s="14" t="s">
        <v>15</v>
      </c>
      <c r="F44" s="14"/>
      <c r="G44" s="14" t="s">
        <v>91</v>
      </c>
      <c r="H44" s="26" t="s">
        <v>92</v>
      </c>
      <c r="I44" s="105">
        <v>5940</v>
      </c>
      <c r="J44" s="16">
        <v>42736</v>
      </c>
      <c r="K44" s="16">
        <v>43100</v>
      </c>
      <c r="L44" s="15">
        <f>495+495+495+(603.9/1.22)+(603.9/1.22)+(603.9/1.22)</f>
        <v>2970</v>
      </c>
      <c r="M44" s="15" t="s">
        <v>775</v>
      </c>
      <c r="N44" s="14" t="s">
        <v>196</v>
      </c>
    </row>
    <row r="45" spans="1:14" s="47" customFormat="1" ht="22.5">
      <c r="A45" s="32" t="s">
        <v>197</v>
      </c>
      <c r="B45" s="51">
        <v>42769</v>
      </c>
      <c r="C45" s="32" t="s">
        <v>198</v>
      </c>
      <c r="D45" s="37" t="s">
        <v>36</v>
      </c>
      <c r="E45" s="37" t="s">
        <v>15</v>
      </c>
      <c r="F45" s="37"/>
      <c r="G45" s="37" t="s">
        <v>62</v>
      </c>
      <c r="H45" s="46" t="s">
        <v>63</v>
      </c>
      <c r="I45" s="139">
        <v>6050</v>
      </c>
      <c r="J45" s="49">
        <v>42675</v>
      </c>
      <c r="K45" s="49">
        <v>43008</v>
      </c>
      <c r="L45" s="36">
        <f>550+550+550+550+550+550+550+550</f>
        <v>4400</v>
      </c>
      <c r="M45" s="36"/>
      <c r="N45" s="37"/>
    </row>
    <row r="46" spans="1:14" ht="22.5">
      <c r="A46" s="25" t="s">
        <v>199</v>
      </c>
      <c r="B46" s="24">
        <v>42769</v>
      </c>
      <c r="C46" s="25" t="s">
        <v>200</v>
      </c>
      <c r="D46" s="14" t="s">
        <v>36</v>
      </c>
      <c r="E46" s="14" t="s">
        <v>15</v>
      </c>
      <c r="F46" s="14"/>
      <c r="G46" s="14" t="s">
        <v>201</v>
      </c>
      <c r="H46" s="26" t="s">
        <v>202</v>
      </c>
      <c r="I46" s="105">
        <v>5486.4</v>
      </c>
      <c r="J46" s="16">
        <v>42736</v>
      </c>
      <c r="K46" s="16">
        <v>43008</v>
      </c>
      <c r="L46" s="15">
        <f>1219.2+609.6+609.6+609.6+(743.71/1.22)+(743.71/1.22)+609.6</f>
        <v>4876.7967213114762</v>
      </c>
      <c r="M46" s="15" t="s">
        <v>645</v>
      </c>
      <c r="N46" s="37" t="s">
        <v>644</v>
      </c>
    </row>
    <row r="47" spans="1:14" ht="22.5">
      <c r="A47" s="14" t="s">
        <v>203</v>
      </c>
      <c r="B47" s="24">
        <v>42772</v>
      </c>
      <c r="C47" s="14" t="s">
        <v>204</v>
      </c>
      <c r="D47" s="14" t="s">
        <v>36</v>
      </c>
      <c r="E47" s="14" t="s">
        <v>15</v>
      </c>
      <c r="F47" s="14"/>
      <c r="G47" s="14" t="s">
        <v>189</v>
      </c>
      <c r="H47" s="26" t="s">
        <v>59</v>
      </c>
      <c r="I47" s="105">
        <v>945</v>
      </c>
      <c r="J47" s="16">
        <v>42786</v>
      </c>
      <c r="K47" s="16">
        <v>42786</v>
      </c>
      <c r="L47" s="15">
        <f>1152.9/1.22</f>
        <v>945.00000000000011</v>
      </c>
      <c r="M47" s="15" t="s">
        <v>771</v>
      </c>
      <c r="N47" s="14" t="s">
        <v>205</v>
      </c>
    </row>
    <row r="48" spans="1:14" ht="22.5">
      <c r="A48" s="14" t="s">
        <v>206</v>
      </c>
      <c r="B48" s="24">
        <v>42772</v>
      </c>
      <c r="C48" s="14" t="s">
        <v>207</v>
      </c>
      <c r="D48" s="14" t="s">
        <v>36</v>
      </c>
      <c r="E48" s="14" t="s">
        <v>15</v>
      </c>
      <c r="F48" s="14"/>
      <c r="G48" s="14" t="s">
        <v>189</v>
      </c>
      <c r="H48" s="23" t="s">
        <v>59</v>
      </c>
      <c r="I48" s="105">
        <v>286.7</v>
      </c>
      <c r="J48" s="16">
        <v>42740</v>
      </c>
      <c r="K48" s="16">
        <v>43469</v>
      </c>
      <c r="L48" s="15">
        <v>286.7</v>
      </c>
      <c r="M48" s="15" t="s">
        <v>774</v>
      </c>
      <c r="N48" s="14" t="s">
        <v>208</v>
      </c>
    </row>
    <row r="49" spans="1:14" s="47" customFormat="1" ht="22.5">
      <c r="A49" s="37" t="s">
        <v>209</v>
      </c>
      <c r="B49" s="51">
        <v>42773</v>
      </c>
      <c r="C49" s="37" t="s">
        <v>210</v>
      </c>
      <c r="D49" s="37" t="s">
        <v>36</v>
      </c>
      <c r="E49" s="37" t="s">
        <v>15</v>
      </c>
      <c r="F49" s="37"/>
      <c r="G49" s="37" t="s">
        <v>155</v>
      </c>
      <c r="H49" s="53" t="s">
        <v>156</v>
      </c>
      <c r="I49" s="139">
        <v>7942</v>
      </c>
      <c r="J49" s="49">
        <v>42773</v>
      </c>
      <c r="K49" s="49">
        <v>43100</v>
      </c>
      <c r="L49" s="36">
        <f>7342.01+600</f>
        <v>7942.01</v>
      </c>
      <c r="M49" s="36" t="s">
        <v>508</v>
      </c>
      <c r="N49" s="37" t="s">
        <v>211</v>
      </c>
    </row>
    <row r="50" spans="1:14" ht="22.5">
      <c r="A50" s="57" t="s">
        <v>212</v>
      </c>
      <c r="B50" s="24">
        <v>42773</v>
      </c>
      <c r="C50" s="14" t="s">
        <v>213</v>
      </c>
      <c r="D50" s="14" t="s">
        <v>14</v>
      </c>
      <c r="E50" s="14" t="s">
        <v>15</v>
      </c>
      <c r="F50" s="14"/>
      <c r="G50" s="14" t="s">
        <v>214</v>
      </c>
      <c r="H50" s="26" t="s">
        <v>215</v>
      </c>
      <c r="I50" s="105">
        <v>800</v>
      </c>
      <c r="J50" s="16">
        <v>42766</v>
      </c>
      <c r="K50" s="16">
        <v>42769</v>
      </c>
      <c r="L50" s="15">
        <v>800</v>
      </c>
      <c r="M50" s="15" t="s">
        <v>773</v>
      </c>
      <c r="N50" s="14" t="s">
        <v>216</v>
      </c>
    </row>
    <row r="51" spans="1:14" ht="22.5">
      <c r="A51" s="14" t="s">
        <v>217</v>
      </c>
      <c r="B51" s="24">
        <v>42773</v>
      </c>
      <c r="C51" s="14" t="s">
        <v>218</v>
      </c>
      <c r="D51" s="14" t="s">
        <v>14</v>
      </c>
      <c r="E51" s="14" t="s">
        <v>15</v>
      </c>
      <c r="F51" s="14"/>
      <c r="G51" s="14" t="s">
        <v>155</v>
      </c>
      <c r="H51" s="26" t="s">
        <v>156</v>
      </c>
      <c r="I51" s="105">
        <v>750</v>
      </c>
      <c r="J51" s="16">
        <v>42773</v>
      </c>
      <c r="K51" s="16">
        <v>42773</v>
      </c>
      <c r="L51" s="15">
        <f>915/1.22</f>
        <v>750</v>
      </c>
      <c r="M51" s="15" t="s">
        <v>509</v>
      </c>
      <c r="N51" s="14" t="s">
        <v>219</v>
      </c>
    </row>
    <row r="52" spans="1:14" ht="33.75">
      <c r="A52" s="14" t="s">
        <v>221</v>
      </c>
      <c r="B52" s="24">
        <v>42774</v>
      </c>
      <c r="C52" s="14" t="s">
        <v>222</v>
      </c>
      <c r="D52" s="14" t="s">
        <v>14</v>
      </c>
      <c r="E52" s="14" t="s">
        <v>15</v>
      </c>
      <c r="F52" s="14"/>
      <c r="G52" s="14" t="s">
        <v>163</v>
      </c>
      <c r="H52" s="26" t="s">
        <v>124</v>
      </c>
      <c r="I52" s="129">
        <v>268</v>
      </c>
      <c r="J52" s="16">
        <v>42773</v>
      </c>
      <c r="K52" s="16">
        <v>42773</v>
      </c>
      <c r="L52" s="15">
        <v>268</v>
      </c>
      <c r="M52" s="15" t="s">
        <v>318</v>
      </c>
      <c r="N52" s="14" t="s">
        <v>223</v>
      </c>
    </row>
    <row r="53" spans="1:14" ht="22.5">
      <c r="A53" s="14" t="s">
        <v>224</v>
      </c>
      <c r="B53" s="24">
        <v>42774</v>
      </c>
      <c r="C53" s="14" t="s">
        <v>225</v>
      </c>
      <c r="D53" s="14" t="s">
        <v>14</v>
      </c>
      <c r="E53" s="14" t="s">
        <v>15</v>
      </c>
      <c r="F53" s="14"/>
      <c r="G53" s="14" t="s">
        <v>226</v>
      </c>
      <c r="H53" s="26" t="s">
        <v>227</v>
      </c>
      <c r="I53" s="105">
        <v>1200</v>
      </c>
      <c r="J53" s="16">
        <v>42772</v>
      </c>
      <c r="K53" s="16">
        <v>42774</v>
      </c>
      <c r="L53" s="15">
        <f>600+600</f>
        <v>1200</v>
      </c>
      <c r="M53" s="15" t="s">
        <v>319</v>
      </c>
      <c r="N53" s="14" t="s">
        <v>228</v>
      </c>
    </row>
    <row r="54" spans="1:14" ht="22.5">
      <c r="A54" s="1" t="s">
        <v>234</v>
      </c>
      <c r="B54" s="24">
        <v>42775</v>
      </c>
      <c r="C54" s="1" t="s">
        <v>235</v>
      </c>
      <c r="D54" s="14" t="s">
        <v>14</v>
      </c>
      <c r="E54" s="14" t="s">
        <v>15</v>
      </c>
      <c r="G54" s="14" t="s">
        <v>155</v>
      </c>
      <c r="H54" s="26" t="s">
        <v>156</v>
      </c>
      <c r="I54" s="130">
        <v>3950</v>
      </c>
      <c r="J54" s="16"/>
      <c r="K54" s="16"/>
      <c r="L54" s="15">
        <v>3950</v>
      </c>
      <c r="M54" s="15" t="s">
        <v>320</v>
      </c>
      <c r="N54" s="14" t="s">
        <v>236</v>
      </c>
    </row>
    <row r="55" spans="1:14" ht="22.5">
      <c r="A55" s="14" t="s">
        <v>229</v>
      </c>
      <c r="B55" s="24">
        <v>42775</v>
      </c>
      <c r="C55" s="14" t="s">
        <v>230</v>
      </c>
      <c r="D55" s="14" t="s">
        <v>17</v>
      </c>
      <c r="E55" s="14" t="s">
        <v>15</v>
      </c>
      <c r="F55" s="14"/>
      <c r="G55" s="14" t="s">
        <v>231</v>
      </c>
      <c r="H55" s="26" t="s">
        <v>232</v>
      </c>
      <c r="I55" s="105">
        <v>471.96</v>
      </c>
      <c r="J55" s="16">
        <v>42775</v>
      </c>
      <c r="K55" s="16">
        <v>42775</v>
      </c>
      <c r="L55" s="15">
        <v>471.96</v>
      </c>
      <c r="M55" s="15" t="s">
        <v>321</v>
      </c>
      <c r="N55" s="14" t="s">
        <v>233</v>
      </c>
    </row>
    <row r="56" spans="1:14" ht="22.5">
      <c r="A56" s="14" t="s">
        <v>244</v>
      </c>
      <c r="B56" s="24">
        <v>42776</v>
      </c>
      <c r="C56" s="14" t="s">
        <v>245</v>
      </c>
      <c r="D56" s="14" t="s">
        <v>14</v>
      </c>
      <c r="E56" s="14" t="s">
        <v>15</v>
      </c>
      <c r="F56" s="14"/>
      <c r="G56" s="14" t="s">
        <v>246</v>
      </c>
      <c r="H56" s="26" t="s">
        <v>247</v>
      </c>
      <c r="I56" s="105">
        <v>318</v>
      </c>
      <c r="J56" s="16">
        <v>42793</v>
      </c>
      <c r="K56" s="16">
        <v>42793</v>
      </c>
      <c r="L56" s="15">
        <v>318</v>
      </c>
      <c r="M56" s="15" t="s">
        <v>334</v>
      </c>
      <c r="N56" s="14" t="s">
        <v>248</v>
      </c>
    </row>
    <row r="57" spans="1:14" ht="22.5">
      <c r="A57" s="14" t="s">
        <v>249</v>
      </c>
      <c r="B57" s="24">
        <v>42776</v>
      </c>
      <c r="C57" s="14" t="s">
        <v>250</v>
      </c>
      <c r="D57" s="14" t="s">
        <v>14</v>
      </c>
      <c r="E57" s="14" t="s">
        <v>15</v>
      </c>
      <c r="F57" s="14"/>
      <c r="G57" s="14" t="s">
        <v>251</v>
      </c>
      <c r="H57" s="26" t="s">
        <v>252</v>
      </c>
      <c r="I57" s="105">
        <v>200</v>
      </c>
      <c r="J57" s="16">
        <v>42784</v>
      </c>
      <c r="K57" s="16">
        <v>42784</v>
      </c>
      <c r="L57" s="15">
        <v>200</v>
      </c>
      <c r="M57" s="15" t="s">
        <v>338</v>
      </c>
      <c r="N57" s="14" t="s">
        <v>253</v>
      </c>
    </row>
    <row r="58" spans="1:14" s="47" customFormat="1" ht="33.75">
      <c r="A58" s="63" t="s">
        <v>239</v>
      </c>
      <c r="B58" s="51">
        <v>42776</v>
      </c>
      <c r="C58" s="63" t="s">
        <v>240</v>
      </c>
      <c r="D58" s="37" t="s">
        <v>36</v>
      </c>
      <c r="E58" s="37" t="s">
        <v>15</v>
      </c>
      <c r="F58" s="37"/>
      <c r="G58" s="37" t="s">
        <v>241</v>
      </c>
      <c r="H58" s="53" t="s">
        <v>169</v>
      </c>
      <c r="I58" s="139">
        <v>10000</v>
      </c>
      <c r="J58" s="49">
        <v>42736</v>
      </c>
      <c r="K58" s="49">
        <v>43039</v>
      </c>
      <c r="L58" s="36">
        <f>1000+1000+1000+1000+1000+1000</f>
        <v>6000</v>
      </c>
      <c r="M58" s="36" t="s">
        <v>693</v>
      </c>
      <c r="N58" s="37" t="s">
        <v>1041</v>
      </c>
    </row>
    <row r="59" spans="1:14" ht="22.5">
      <c r="A59" s="14" t="s">
        <v>254</v>
      </c>
      <c r="B59" s="24">
        <v>42776</v>
      </c>
      <c r="C59" s="14" t="s">
        <v>255</v>
      </c>
      <c r="D59" s="14" t="s">
        <v>36</v>
      </c>
      <c r="E59" s="14" t="s">
        <v>15</v>
      </c>
      <c r="F59" s="14"/>
      <c r="G59" s="14" t="s">
        <v>256</v>
      </c>
      <c r="H59" s="26" t="s">
        <v>257</v>
      </c>
      <c r="I59" s="105">
        <v>50</v>
      </c>
      <c r="J59" s="16">
        <v>42781</v>
      </c>
      <c r="K59" s="16">
        <v>42781</v>
      </c>
      <c r="L59" s="15"/>
      <c r="M59" s="15" t="s">
        <v>337</v>
      </c>
      <c r="N59" s="14" t="s">
        <v>258</v>
      </c>
    </row>
    <row r="60" spans="1:14" s="47" customFormat="1" ht="33.75">
      <c r="A60" s="156" t="s">
        <v>243</v>
      </c>
      <c r="B60" s="157">
        <v>42776</v>
      </c>
      <c r="C60" s="158" t="s">
        <v>242</v>
      </c>
      <c r="D60" s="97" t="s">
        <v>36</v>
      </c>
      <c r="E60" s="97" t="s">
        <v>15</v>
      </c>
      <c r="F60" s="97"/>
      <c r="G60" s="97" t="s">
        <v>241</v>
      </c>
      <c r="H60" s="159" t="s">
        <v>169</v>
      </c>
      <c r="I60" s="160">
        <v>3200</v>
      </c>
      <c r="J60" s="161">
        <v>42736</v>
      </c>
      <c r="K60" s="161">
        <v>43039</v>
      </c>
      <c r="L60" s="162">
        <f>320+320+320+320+320+320</f>
        <v>1920</v>
      </c>
      <c r="M60" s="162" t="s">
        <v>453</v>
      </c>
      <c r="N60" s="97" t="s">
        <v>1040</v>
      </c>
    </row>
    <row r="61" spans="1:14" ht="33.75">
      <c r="A61" s="113" t="s">
        <v>259</v>
      </c>
      <c r="B61" s="24">
        <v>42776</v>
      </c>
      <c r="C61" s="114" t="s">
        <v>260</v>
      </c>
      <c r="D61" s="14" t="s">
        <v>17</v>
      </c>
      <c r="E61" s="14" t="s">
        <v>15</v>
      </c>
      <c r="F61" s="114"/>
      <c r="G61" s="14" t="s">
        <v>144</v>
      </c>
      <c r="H61" s="26" t="s">
        <v>145</v>
      </c>
      <c r="I61" s="105">
        <v>60</v>
      </c>
      <c r="J61" s="16">
        <v>42749</v>
      </c>
      <c r="K61" s="16">
        <v>42749</v>
      </c>
      <c r="L61" s="15">
        <v>60</v>
      </c>
      <c r="M61" s="15" t="s">
        <v>333</v>
      </c>
      <c r="N61" s="14" t="s">
        <v>261</v>
      </c>
    </row>
    <row r="62" spans="1:14" s="47" customFormat="1" ht="33.75">
      <c r="A62" s="37" t="s">
        <v>262</v>
      </c>
      <c r="B62" s="51">
        <v>42776</v>
      </c>
      <c r="C62" s="37" t="s">
        <v>263</v>
      </c>
      <c r="D62" s="37" t="s">
        <v>36</v>
      </c>
      <c r="E62" s="37" t="s">
        <v>15</v>
      </c>
      <c r="F62" s="37"/>
      <c r="G62" s="37" t="s">
        <v>264</v>
      </c>
      <c r="H62" s="53" t="s">
        <v>131</v>
      </c>
      <c r="I62" s="139">
        <v>600</v>
      </c>
      <c r="J62" s="49">
        <v>42736</v>
      </c>
      <c r="K62" s="49">
        <v>43100</v>
      </c>
      <c r="L62" s="36">
        <v>120</v>
      </c>
      <c r="M62" s="36" t="s">
        <v>332</v>
      </c>
      <c r="N62" s="37" t="s">
        <v>265</v>
      </c>
    </row>
    <row r="63" spans="1:14" ht="22.5">
      <c r="A63" s="14" t="s">
        <v>266</v>
      </c>
      <c r="B63" s="24">
        <v>42776</v>
      </c>
      <c r="C63" s="14" t="s">
        <v>267</v>
      </c>
      <c r="D63" s="14" t="s">
        <v>36</v>
      </c>
      <c r="E63" s="14" t="s">
        <v>15</v>
      </c>
      <c r="F63" s="14"/>
      <c r="G63" s="35" t="s">
        <v>237</v>
      </c>
      <c r="H63" s="53" t="s">
        <v>238</v>
      </c>
      <c r="I63" s="105">
        <v>54</v>
      </c>
      <c r="J63" s="16">
        <v>42720</v>
      </c>
      <c r="K63" s="16">
        <v>42720</v>
      </c>
      <c r="L63" s="15">
        <v>54</v>
      </c>
      <c r="M63" s="15" t="s">
        <v>331</v>
      </c>
      <c r="N63" s="14" t="s">
        <v>268</v>
      </c>
    </row>
    <row r="64" spans="1:14" ht="22.5">
      <c r="A64" s="14" t="s">
        <v>269</v>
      </c>
      <c r="B64" s="24">
        <v>42776</v>
      </c>
      <c r="C64" s="14" t="s">
        <v>270</v>
      </c>
      <c r="D64" s="14" t="s">
        <v>17</v>
      </c>
      <c r="E64" s="14" t="s">
        <v>15</v>
      </c>
      <c r="F64" s="14"/>
      <c r="G64" s="14" t="s">
        <v>84</v>
      </c>
      <c r="H64" s="27" t="s">
        <v>85</v>
      </c>
      <c r="I64" s="105">
        <v>194.68</v>
      </c>
      <c r="J64" s="16">
        <v>42648</v>
      </c>
      <c r="K64" s="16">
        <v>42670</v>
      </c>
      <c r="L64" s="15">
        <v>194.68</v>
      </c>
      <c r="M64" s="15" t="s">
        <v>335</v>
      </c>
      <c r="N64" s="14" t="s">
        <v>271</v>
      </c>
    </row>
    <row r="65" spans="1:14" ht="33.75">
      <c r="A65" s="14" t="s">
        <v>272</v>
      </c>
      <c r="B65" s="24">
        <v>42776</v>
      </c>
      <c r="C65" s="14" t="s">
        <v>273</v>
      </c>
      <c r="D65" s="14" t="s">
        <v>17</v>
      </c>
      <c r="E65" s="14" t="s">
        <v>15</v>
      </c>
      <c r="F65" s="14"/>
      <c r="G65" s="14" t="s">
        <v>84</v>
      </c>
      <c r="H65" s="27" t="s">
        <v>85</v>
      </c>
      <c r="I65" s="105">
        <v>1248.78</v>
      </c>
      <c r="J65" s="16">
        <v>42648</v>
      </c>
      <c r="K65" s="16">
        <v>42670</v>
      </c>
      <c r="L65" s="15">
        <v>1248.78</v>
      </c>
      <c r="M65" s="15" t="s">
        <v>336</v>
      </c>
      <c r="N65" s="14" t="s">
        <v>274</v>
      </c>
    </row>
    <row r="66" spans="1:14" ht="22.5">
      <c r="A66" s="96" t="s">
        <v>275</v>
      </c>
      <c r="B66" s="95">
        <v>42786</v>
      </c>
      <c r="C66" s="96" t="s">
        <v>276</v>
      </c>
      <c r="D66" s="96" t="s">
        <v>36</v>
      </c>
      <c r="E66" s="96" t="s">
        <v>15</v>
      </c>
      <c r="F66" s="96"/>
      <c r="G66" s="96" t="s">
        <v>277</v>
      </c>
      <c r="H66" s="98">
        <v>10209790152</v>
      </c>
      <c r="I66" s="131">
        <v>3972.5</v>
      </c>
      <c r="J66" s="100">
        <v>42736</v>
      </c>
      <c r="K66" s="100">
        <v>43100</v>
      </c>
      <c r="L66" s="99">
        <f>361.22+361.22+361.22+361.22+(440.69/1.22)+(440.59/1.22)</f>
        <v>2167.2406557377053</v>
      </c>
      <c r="M66" s="99" t="s">
        <v>327</v>
      </c>
      <c r="N66" s="96" t="s">
        <v>278</v>
      </c>
    </row>
    <row r="67" spans="1:14" ht="22.5">
      <c r="A67" s="25" t="s">
        <v>279</v>
      </c>
      <c r="B67" s="24">
        <v>42787</v>
      </c>
      <c r="C67" s="25" t="s">
        <v>280</v>
      </c>
      <c r="D67" s="14" t="s">
        <v>36</v>
      </c>
      <c r="E67" s="14" t="s">
        <v>15</v>
      </c>
      <c r="F67" s="14"/>
      <c r="G67" s="14" t="s">
        <v>281</v>
      </c>
      <c r="H67" s="26" t="s">
        <v>282</v>
      </c>
      <c r="I67" s="105">
        <v>775.06</v>
      </c>
      <c r="J67" s="16">
        <v>42784</v>
      </c>
      <c r="K67" s="16">
        <v>43149</v>
      </c>
      <c r="L67" s="15">
        <v>775.06</v>
      </c>
      <c r="M67" s="15"/>
      <c r="N67" s="14" t="s">
        <v>283</v>
      </c>
    </row>
    <row r="68" spans="1:14" ht="22.5">
      <c r="A68" s="116" t="s">
        <v>291</v>
      </c>
      <c r="B68" s="95">
        <v>42788</v>
      </c>
      <c r="C68" s="117" t="s">
        <v>290</v>
      </c>
      <c r="D68" s="14" t="s">
        <v>14</v>
      </c>
      <c r="E68" s="14" t="s">
        <v>15</v>
      </c>
      <c r="F68" s="96"/>
      <c r="G68" s="14" t="s">
        <v>155</v>
      </c>
      <c r="H68" s="26" t="s">
        <v>156</v>
      </c>
      <c r="I68" s="128">
        <v>232.98</v>
      </c>
      <c r="J68" s="100">
        <v>42788</v>
      </c>
      <c r="K68" s="100">
        <v>42788</v>
      </c>
      <c r="L68" s="99">
        <v>232.98</v>
      </c>
      <c r="M68" s="99" t="s">
        <v>330</v>
      </c>
      <c r="N68" s="96" t="s">
        <v>292</v>
      </c>
    </row>
    <row r="69" spans="1:14" ht="33.75">
      <c r="A69" s="1" t="s">
        <v>284</v>
      </c>
      <c r="B69" s="95">
        <v>42789</v>
      </c>
      <c r="C69" s="96" t="s">
        <v>285</v>
      </c>
      <c r="D69" s="96" t="s">
        <v>17</v>
      </c>
      <c r="E69" s="96" t="s">
        <v>15</v>
      </c>
      <c r="F69" s="96"/>
      <c r="G69" s="96" t="s">
        <v>84</v>
      </c>
      <c r="H69" s="115" t="s">
        <v>85</v>
      </c>
      <c r="I69" s="128">
        <v>356</v>
      </c>
      <c r="J69" s="95">
        <v>42789</v>
      </c>
      <c r="K69" s="95">
        <v>42789</v>
      </c>
      <c r="L69" s="99">
        <v>356</v>
      </c>
      <c r="M69" s="99" t="s">
        <v>329</v>
      </c>
      <c r="N69" s="96" t="s">
        <v>286</v>
      </c>
    </row>
    <row r="70" spans="1:14" ht="33.75">
      <c r="A70" s="14" t="s">
        <v>287</v>
      </c>
      <c r="B70" s="24">
        <v>42789</v>
      </c>
      <c r="C70" s="14" t="s">
        <v>288</v>
      </c>
      <c r="D70" s="14" t="s">
        <v>17</v>
      </c>
      <c r="E70" s="14" t="s">
        <v>15</v>
      </c>
      <c r="F70" s="14"/>
      <c r="G70" s="14" t="s">
        <v>84</v>
      </c>
      <c r="H70" s="27" t="s">
        <v>85</v>
      </c>
      <c r="I70" s="132">
        <v>2287.79</v>
      </c>
      <c r="J70" s="16">
        <v>42790</v>
      </c>
      <c r="K70" s="16">
        <v>42797</v>
      </c>
      <c r="L70" s="15">
        <v>2287.79</v>
      </c>
      <c r="M70" s="15" t="s">
        <v>328</v>
      </c>
      <c r="N70" s="14" t="s">
        <v>289</v>
      </c>
    </row>
    <row r="71" spans="1:14" ht="22.5">
      <c r="A71" s="14" t="s">
        <v>298</v>
      </c>
      <c r="B71" s="24">
        <v>42789</v>
      </c>
      <c r="C71" s="14" t="s">
        <v>299</v>
      </c>
      <c r="D71" s="14" t="s">
        <v>17</v>
      </c>
      <c r="E71" s="14" t="s">
        <v>15</v>
      </c>
      <c r="F71" s="14"/>
      <c r="G71" s="14" t="s">
        <v>300</v>
      </c>
      <c r="H71" s="27" t="s">
        <v>301</v>
      </c>
      <c r="I71" s="132">
        <v>6000</v>
      </c>
      <c r="J71" s="16">
        <v>42794</v>
      </c>
      <c r="K71" s="16">
        <v>42803</v>
      </c>
      <c r="L71" s="15">
        <v>6000</v>
      </c>
      <c r="M71" s="15" t="s">
        <v>322</v>
      </c>
      <c r="N71" s="14" t="s">
        <v>302</v>
      </c>
    </row>
    <row r="72" spans="1:14" ht="22.5">
      <c r="A72" s="101" t="s">
        <v>494</v>
      </c>
      <c r="B72" s="24">
        <v>42790</v>
      </c>
      <c r="C72" s="101" t="s">
        <v>495</v>
      </c>
      <c r="D72" s="14" t="s">
        <v>17</v>
      </c>
      <c r="E72" s="14" t="s">
        <v>15</v>
      </c>
      <c r="F72" s="14"/>
      <c r="G72" s="14" t="s">
        <v>144</v>
      </c>
      <c r="H72" s="26" t="s">
        <v>145</v>
      </c>
      <c r="I72" s="132">
        <v>260</v>
      </c>
      <c r="J72" s="16">
        <v>42777</v>
      </c>
      <c r="K72" s="16">
        <v>42777</v>
      </c>
      <c r="L72" s="15">
        <v>260</v>
      </c>
      <c r="M72" s="15" t="s">
        <v>497</v>
      </c>
      <c r="N72" s="14" t="s">
        <v>496</v>
      </c>
    </row>
    <row r="73" spans="1:14" ht="22.5">
      <c r="A73" s="14" t="s">
        <v>293</v>
      </c>
      <c r="B73" s="24">
        <v>42793</v>
      </c>
      <c r="C73" s="14" t="s">
        <v>294</v>
      </c>
      <c r="D73" s="14" t="s">
        <v>17</v>
      </c>
      <c r="E73" s="14" t="s">
        <v>15</v>
      </c>
      <c r="F73" s="14"/>
      <c r="G73" s="14" t="s">
        <v>295</v>
      </c>
      <c r="H73" s="27" t="s">
        <v>296</v>
      </c>
      <c r="I73" s="105">
        <v>400</v>
      </c>
      <c r="J73" s="16">
        <v>42767</v>
      </c>
      <c r="K73" s="16">
        <v>42779</v>
      </c>
      <c r="L73" s="15">
        <v>400</v>
      </c>
      <c r="M73" s="15" t="s">
        <v>325</v>
      </c>
      <c r="N73" s="14" t="s">
        <v>297</v>
      </c>
    </row>
    <row r="74" spans="1:14" ht="33.75">
      <c r="A74" s="14" t="s">
        <v>303</v>
      </c>
      <c r="B74" s="24">
        <v>42794</v>
      </c>
      <c r="C74" s="14" t="s">
        <v>304</v>
      </c>
      <c r="D74" s="14" t="s">
        <v>17</v>
      </c>
      <c r="E74" s="14" t="s">
        <v>15</v>
      </c>
      <c r="F74" s="14"/>
      <c r="G74" s="14" t="s">
        <v>144</v>
      </c>
      <c r="H74" s="26" t="s">
        <v>145</v>
      </c>
      <c r="I74" s="105">
        <v>210</v>
      </c>
      <c r="J74" s="16">
        <v>42791</v>
      </c>
      <c r="K74" s="16">
        <v>42791</v>
      </c>
      <c r="L74" s="15">
        <v>210</v>
      </c>
      <c r="M74" s="15" t="s">
        <v>326</v>
      </c>
      <c r="N74" s="14" t="s">
        <v>305</v>
      </c>
    </row>
    <row r="75" spans="1:14" ht="22.5">
      <c r="A75" s="14" t="s">
        <v>306</v>
      </c>
      <c r="B75" s="24">
        <v>42796</v>
      </c>
      <c r="C75" s="14" t="s">
        <v>307</v>
      </c>
      <c r="D75" s="14" t="str">
        <f>$D$74</f>
        <v>Lavori</v>
      </c>
      <c r="E75" s="14" t="str">
        <f>$E$74</f>
        <v>Affidamento in economia - affidamento diretto</v>
      </c>
      <c r="F75" s="14"/>
      <c r="G75" s="14" t="str">
        <f>$G$74</f>
        <v>Listanti Alberto</v>
      </c>
      <c r="H75" s="26" t="s">
        <v>145</v>
      </c>
      <c r="I75" s="105">
        <v>760</v>
      </c>
      <c r="J75" s="16">
        <v>42766</v>
      </c>
      <c r="K75" s="16">
        <v>42769</v>
      </c>
      <c r="L75" s="15">
        <f>280+480</f>
        <v>760</v>
      </c>
      <c r="M75" s="15" t="s">
        <v>324</v>
      </c>
      <c r="N75" s="14" t="s">
        <v>308</v>
      </c>
    </row>
    <row r="76" spans="1:14" ht="22.5">
      <c r="A76" s="14" t="s">
        <v>315</v>
      </c>
      <c r="B76" s="24">
        <v>42796</v>
      </c>
      <c r="C76" s="14" t="s">
        <v>316</v>
      </c>
      <c r="D76" s="14" t="str">
        <f>$D$74</f>
        <v>Lavori</v>
      </c>
      <c r="E76" s="14" t="str">
        <f>$E$74</f>
        <v>Affidamento in economia - affidamento diretto</v>
      </c>
      <c r="F76" s="14"/>
      <c r="G76" s="14" t="s">
        <v>295</v>
      </c>
      <c r="H76" s="27" t="s">
        <v>296</v>
      </c>
      <c r="I76" s="105">
        <v>500</v>
      </c>
      <c r="J76" s="16">
        <v>42767</v>
      </c>
      <c r="K76" s="16">
        <v>42779</v>
      </c>
      <c r="L76" s="15">
        <v>500</v>
      </c>
      <c r="M76" s="15" t="s">
        <v>323</v>
      </c>
      <c r="N76" s="14" t="s">
        <v>317</v>
      </c>
    </row>
    <row r="77" spans="1:14" s="47" customFormat="1" ht="18.75" customHeight="1">
      <c r="A77" s="63" t="s">
        <v>309</v>
      </c>
      <c r="B77" s="51">
        <v>42796</v>
      </c>
      <c r="C77" s="141" t="s">
        <v>310</v>
      </c>
      <c r="D77" s="37" t="s">
        <v>36</v>
      </c>
      <c r="E77" s="37" t="str">
        <f>$E$74</f>
        <v>Affidamento in economia - affidamento diretto</v>
      </c>
      <c r="F77" s="37"/>
      <c r="G77" s="37" t="s">
        <v>311</v>
      </c>
      <c r="H77" s="53">
        <v>1208470557</v>
      </c>
      <c r="I77" s="139">
        <v>400</v>
      </c>
      <c r="J77" s="49">
        <v>42736</v>
      </c>
      <c r="K77" s="49">
        <v>43100</v>
      </c>
      <c r="L77" s="36">
        <f>113.93+(102.4+26.35+3.9)</f>
        <v>246.58</v>
      </c>
      <c r="M77" s="36"/>
      <c r="N77" s="37"/>
    </row>
    <row r="78" spans="1:14" s="47" customFormat="1" ht="45.75" customHeight="1">
      <c r="A78" s="63" t="s">
        <v>313</v>
      </c>
      <c r="B78" s="51">
        <v>42796</v>
      </c>
      <c r="C78" s="63" t="s">
        <v>314</v>
      </c>
      <c r="D78" s="37" t="s">
        <v>14</v>
      </c>
      <c r="E78" s="37" t="s">
        <v>15</v>
      </c>
      <c r="F78" s="37"/>
      <c r="G78" s="37" t="s">
        <v>163</v>
      </c>
      <c r="H78" s="53" t="s">
        <v>124</v>
      </c>
      <c r="I78" s="139">
        <v>5000</v>
      </c>
      <c r="J78" s="49">
        <v>42795</v>
      </c>
      <c r="K78" s="49">
        <v>43100</v>
      </c>
      <c r="L78" s="36">
        <f>170+(2208.2/1.22)+208+(2208.2/1.22)</f>
        <v>3998</v>
      </c>
      <c r="M78" s="36" t="s">
        <v>1052</v>
      </c>
      <c r="N78" s="37" t="s">
        <v>991</v>
      </c>
    </row>
    <row r="79" spans="1:14" ht="22.5">
      <c r="A79" s="87" t="s">
        <v>339</v>
      </c>
      <c r="B79" s="24">
        <v>42801</v>
      </c>
      <c r="C79" s="57" t="s">
        <v>340</v>
      </c>
      <c r="D79" s="14" t="s">
        <v>36</v>
      </c>
      <c r="E79" s="14" t="str">
        <f t="shared" ref="E79:E98" si="0">$E$74</f>
        <v>Affidamento in economia - affidamento diretto</v>
      </c>
      <c r="F79" s="14"/>
      <c r="G79" s="14" t="s">
        <v>341</v>
      </c>
      <c r="H79" s="26" t="s">
        <v>342</v>
      </c>
      <c r="I79" s="105">
        <v>25000</v>
      </c>
      <c r="J79" s="16">
        <v>42736</v>
      </c>
      <c r="K79" s="16">
        <v>43100</v>
      </c>
      <c r="L79" s="15">
        <f>1274.65+1430.65+1975.22+(2006.23/1.04)+(1747.05/1.04)</f>
        <v>8289.4430769230767</v>
      </c>
      <c r="M79" s="15" t="s">
        <v>547</v>
      </c>
      <c r="N79" s="14" t="s">
        <v>548</v>
      </c>
    </row>
    <row r="80" spans="1:14" ht="33.75">
      <c r="A80" s="133" t="s">
        <v>343</v>
      </c>
      <c r="B80" s="24">
        <v>42801</v>
      </c>
      <c r="C80" s="14" t="s">
        <v>344</v>
      </c>
      <c r="D80" s="14" t="str">
        <f>$D$74</f>
        <v>Lavori</v>
      </c>
      <c r="E80" s="14" t="str">
        <f t="shared" si="0"/>
        <v>Affidamento in economia - affidamento diretto</v>
      </c>
      <c r="F80" s="14"/>
      <c r="G80" s="14" t="s">
        <v>295</v>
      </c>
      <c r="H80" s="27" t="s">
        <v>296</v>
      </c>
      <c r="I80" s="105">
        <v>950</v>
      </c>
      <c r="J80" s="16">
        <v>42767</v>
      </c>
      <c r="K80" s="16">
        <v>42779</v>
      </c>
      <c r="L80" s="15">
        <v>950</v>
      </c>
      <c r="M80" s="15" t="s">
        <v>802</v>
      </c>
      <c r="N80" s="14" t="s">
        <v>345</v>
      </c>
    </row>
    <row r="81" spans="1:14" ht="22.5">
      <c r="A81" s="14" t="s">
        <v>346</v>
      </c>
      <c r="B81" s="24">
        <v>42801</v>
      </c>
      <c r="C81" s="119" t="s">
        <v>347</v>
      </c>
      <c r="D81" s="14" t="str">
        <f>$D$74</f>
        <v>Lavori</v>
      </c>
      <c r="E81" s="14" t="str">
        <f t="shared" si="0"/>
        <v>Affidamento in economia - affidamento diretto</v>
      </c>
      <c r="F81" s="14"/>
      <c r="G81" s="14" t="str">
        <f>$G$74</f>
        <v>Listanti Alberto</v>
      </c>
      <c r="H81" s="26" t="s">
        <v>145</v>
      </c>
      <c r="I81" s="105">
        <v>80</v>
      </c>
      <c r="J81" s="16">
        <v>42747</v>
      </c>
      <c r="K81" s="120">
        <v>42747</v>
      </c>
      <c r="L81" s="15"/>
      <c r="M81" s="15" t="s">
        <v>803</v>
      </c>
      <c r="N81" s="14" t="s">
        <v>348</v>
      </c>
    </row>
    <row r="82" spans="1:14" ht="22.5">
      <c r="A82" s="14" t="s">
        <v>349</v>
      </c>
      <c r="B82" s="24">
        <v>42801</v>
      </c>
      <c r="C82" s="14" t="s">
        <v>601</v>
      </c>
      <c r="D82" s="14" t="str">
        <f>$D$74</f>
        <v>Lavori</v>
      </c>
      <c r="E82" s="14" t="str">
        <f t="shared" si="0"/>
        <v>Affidamento in economia - affidamento diretto</v>
      </c>
      <c r="F82" s="14"/>
      <c r="G82" s="14" t="str">
        <f>$G$74</f>
        <v>Listanti Alberto</v>
      </c>
      <c r="H82" s="26" t="s">
        <v>145</v>
      </c>
      <c r="I82" s="105">
        <v>100</v>
      </c>
      <c r="J82" s="16">
        <v>42783</v>
      </c>
      <c r="K82" s="16">
        <v>42783</v>
      </c>
      <c r="L82" s="15">
        <v>100</v>
      </c>
      <c r="M82" s="15" t="s">
        <v>804</v>
      </c>
      <c r="N82" s="14" t="s">
        <v>350</v>
      </c>
    </row>
    <row r="83" spans="1:14" ht="22.5">
      <c r="A83" s="14" t="s">
        <v>351</v>
      </c>
      <c r="B83" s="24">
        <v>42801</v>
      </c>
      <c r="C83" s="62" t="s">
        <v>352</v>
      </c>
      <c r="D83" s="14" t="s">
        <v>14</v>
      </c>
      <c r="E83" s="14" t="str">
        <f t="shared" si="0"/>
        <v>Affidamento in economia - affidamento diretto</v>
      </c>
      <c r="F83" s="14"/>
      <c r="G83" s="14" t="s">
        <v>353</v>
      </c>
      <c r="H83" s="25">
        <v>10855381009</v>
      </c>
      <c r="I83" s="105">
        <v>390</v>
      </c>
      <c r="J83" s="134">
        <v>42765</v>
      </c>
      <c r="K83" s="16">
        <v>42801</v>
      </c>
      <c r="L83" s="15"/>
      <c r="M83" s="15" t="s">
        <v>361</v>
      </c>
      <c r="N83" s="14" t="s">
        <v>354</v>
      </c>
    </row>
    <row r="84" spans="1:14" ht="33.75">
      <c r="A84" s="14" t="s">
        <v>355</v>
      </c>
      <c r="B84" s="24">
        <v>42802</v>
      </c>
      <c r="C84" s="14" t="s">
        <v>356</v>
      </c>
      <c r="D84" s="14" t="str">
        <f>$D$74</f>
        <v>Lavori</v>
      </c>
      <c r="E84" s="14" t="str">
        <f t="shared" si="0"/>
        <v>Affidamento in economia - affidamento diretto</v>
      </c>
      <c r="F84" s="14"/>
      <c r="G84" s="14" t="str">
        <f>$G$74</f>
        <v>Listanti Alberto</v>
      </c>
      <c r="H84" s="26" t="s">
        <v>145</v>
      </c>
      <c r="I84" s="132">
        <v>1360</v>
      </c>
      <c r="J84" s="16">
        <v>42713</v>
      </c>
      <c r="K84" s="134">
        <v>42721</v>
      </c>
      <c r="L84" s="15">
        <v>1360</v>
      </c>
      <c r="M84" s="15" t="s">
        <v>454</v>
      </c>
      <c r="N84" s="14" t="s">
        <v>357</v>
      </c>
    </row>
    <row r="85" spans="1:14" ht="22.5">
      <c r="A85" s="14" t="s">
        <v>358</v>
      </c>
      <c r="B85" s="24">
        <v>42802</v>
      </c>
      <c r="C85" s="14" t="s">
        <v>359</v>
      </c>
      <c r="D85" s="14" t="str">
        <f>$D$74</f>
        <v>Lavori</v>
      </c>
      <c r="E85" s="14" t="str">
        <f t="shared" si="0"/>
        <v>Affidamento in economia - affidamento diretto</v>
      </c>
      <c r="F85" s="14"/>
      <c r="G85" s="14" t="str">
        <f>$G$74</f>
        <v>Listanti Alberto</v>
      </c>
      <c r="H85" s="26" t="s">
        <v>145</v>
      </c>
      <c r="I85" s="132">
        <v>350</v>
      </c>
      <c r="J85" s="16">
        <v>42713</v>
      </c>
      <c r="K85" s="16">
        <v>42721</v>
      </c>
      <c r="L85" s="15">
        <f>350</f>
        <v>350</v>
      </c>
      <c r="M85" s="15" t="s">
        <v>455</v>
      </c>
      <c r="N85" s="14" t="s">
        <v>360</v>
      </c>
    </row>
    <row r="86" spans="1:14" ht="33.75">
      <c r="A86" s="14" t="s">
        <v>368</v>
      </c>
      <c r="B86" s="24" t="s">
        <v>367</v>
      </c>
      <c r="C86" s="14" t="s">
        <v>369</v>
      </c>
      <c r="D86" s="14" t="str">
        <f>$D$74</f>
        <v>Lavori</v>
      </c>
      <c r="E86" s="14" t="str">
        <f t="shared" si="0"/>
        <v>Affidamento in economia - affidamento diretto</v>
      </c>
      <c r="F86" s="113"/>
      <c r="G86" s="14" t="s">
        <v>84</v>
      </c>
      <c r="H86" s="27" t="s">
        <v>85</v>
      </c>
      <c r="I86" s="132">
        <v>2874</v>
      </c>
      <c r="J86" s="16">
        <v>42809</v>
      </c>
      <c r="K86" s="16">
        <v>42810</v>
      </c>
      <c r="L86" s="15">
        <v>2874</v>
      </c>
      <c r="M86" s="15" t="s">
        <v>458</v>
      </c>
      <c r="N86" s="14" t="s">
        <v>374</v>
      </c>
    </row>
    <row r="87" spans="1:14" ht="33.75">
      <c r="A87" s="14" t="s">
        <v>370</v>
      </c>
      <c r="B87" s="24" t="s">
        <v>371</v>
      </c>
      <c r="C87" s="14" t="s">
        <v>372</v>
      </c>
      <c r="D87" s="14" t="str">
        <f>$D$74</f>
        <v>Lavori</v>
      </c>
      <c r="E87" s="14" t="str">
        <f t="shared" si="0"/>
        <v>Affidamento in economia - affidamento diretto</v>
      </c>
      <c r="F87" s="113"/>
      <c r="G87" s="14" t="str">
        <f>$G$74</f>
        <v>Listanti Alberto</v>
      </c>
      <c r="H87" s="26" t="s">
        <v>145</v>
      </c>
      <c r="I87" s="132">
        <v>1380</v>
      </c>
      <c r="J87" s="16">
        <v>42807</v>
      </c>
      <c r="K87" s="120">
        <v>42838</v>
      </c>
      <c r="L87" s="15">
        <v>1380</v>
      </c>
      <c r="M87" s="15" t="s">
        <v>456</v>
      </c>
      <c r="N87" s="14" t="s">
        <v>375</v>
      </c>
    </row>
    <row r="88" spans="1:14" ht="33.75">
      <c r="A88" s="14" t="s">
        <v>376</v>
      </c>
      <c r="B88" s="24" t="s">
        <v>371</v>
      </c>
      <c r="C88" s="14" t="s">
        <v>377</v>
      </c>
      <c r="D88" s="14" t="s">
        <v>14</v>
      </c>
      <c r="E88" s="14" t="str">
        <f t="shared" si="0"/>
        <v>Affidamento in economia - affidamento diretto</v>
      </c>
      <c r="F88" s="113"/>
      <c r="G88" s="14" t="s">
        <v>404</v>
      </c>
      <c r="H88" s="27" t="s">
        <v>406</v>
      </c>
      <c r="I88" s="132">
        <v>166.5</v>
      </c>
      <c r="J88" s="16">
        <v>42815</v>
      </c>
      <c r="K88" s="120">
        <v>42825</v>
      </c>
      <c r="L88" s="15">
        <f>203.13/1.22</f>
        <v>166.5</v>
      </c>
      <c r="M88" s="15" t="s">
        <v>459</v>
      </c>
      <c r="N88" s="14" t="s">
        <v>405</v>
      </c>
    </row>
    <row r="89" spans="1:14" ht="22.5">
      <c r="A89" s="14" t="s">
        <v>363</v>
      </c>
      <c r="B89" s="24">
        <v>42810</v>
      </c>
      <c r="C89" s="14" t="s">
        <v>373</v>
      </c>
      <c r="D89" s="14" t="str">
        <f>$D$74</f>
        <v>Lavori</v>
      </c>
      <c r="E89" s="121" t="str">
        <f t="shared" si="0"/>
        <v>Affidamento in economia - affidamento diretto</v>
      </c>
      <c r="G89" s="14" t="s">
        <v>364</v>
      </c>
      <c r="H89" s="26" t="s">
        <v>365</v>
      </c>
      <c r="I89" s="105">
        <v>180</v>
      </c>
      <c r="J89" s="16">
        <v>42810</v>
      </c>
      <c r="K89" s="16">
        <v>42815</v>
      </c>
      <c r="L89" s="15"/>
      <c r="M89" s="15" t="s">
        <v>477</v>
      </c>
      <c r="N89" s="14" t="s">
        <v>366</v>
      </c>
    </row>
    <row r="90" spans="1:14" ht="22.5">
      <c r="A90" s="14" t="s">
        <v>378</v>
      </c>
      <c r="B90" s="24">
        <v>42810</v>
      </c>
      <c r="C90" s="62" t="s">
        <v>379</v>
      </c>
      <c r="D90" s="14" t="s">
        <v>14</v>
      </c>
      <c r="E90" s="14" t="str">
        <f t="shared" si="0"/>
        <v>Affidamento in economia - affidamento diretto</v>
      </c>
      <c r="F90" s="113"/>
      <c r="G90" s="14" t="s">
        <v>380</v>
      </c>
      <c r="H90" s="27" t="s">
        <v>381</v>
      </c>
      <c r="I90" s="105">
        <v>139</v>
      </c>
      <c r="J90" s="16">
        <v>42810</v>
      </c>
      <c r="K90" s="16">
        <v>42810</v>
      </c>
      <c r="L90" s="15">
        <v>139</v>
      </c>
      <c r="M90" s="15" t="s">
        <v>479</v>
      </c>
      <c r="N90" s="14" t="s">
        <v>382</v>
      </c>
    </row>
    <row r="91" spans="1:14" s="47" customFormat="1" ht="45">
      <c r="A91" s="37" t="s">
        <v>383</v>
      </c>
      <c r="B91" s="51">
        <v>42810</v>
      </c>
      <c r="C91" s="37" t="s">
        <v>384</v>
      </c>
      <c r="D91" s="37" t="s">
        <v>36</v>
      </c>
      <c r="E91" s="37" t="str">
        <f t="shared" si="0"/>
        <v>Affidamento in economia - affidamento diretto</v>
      </c>
      <c r="F91" s="155"/>
      <c r="G91" s="35" t="s">
        <v>237</v>
      </c>
      <c r="H91" s="53" t="s">
        <v>238</v>
      </c>
      <c r="I91" s="139">
        <v>9585</v>
      </c>
      <c r="J91" s="49">
        <v>42736</v>
      </c>
      <c r="K91" s="49">
        <v>43100</v>
      </c>
      <c r="L91" s="36">
        <f>600+600+923.77+(325+600)+(732/1.22)</f>
        <v>3648.77</v>
      </c>
      <c r="M91" s="36" t="s">
        <v>478</v>
      </c>
      <c r="N91" s="37" t="s">
        <v>385</v>
      </c>
    </row>
    <row r="92" spans="1:14" ht="22.5">
      <c r="A92" s="57" t="s">
        <v>386</v>
      </c>
      <c r="B92" s="24">
        <v>42811</v>
      </c>
      <c r="C92" s="65" t="s">
        <v>387</v>
      </c>
      <c r="D92" s="14" t="s">
        <v>14</v>
      </c>
      <c r="E92" s="14" t="str">
        <f t="shared" si="0"/>
        <v>Affidamento in economia - affidamento diretto</v>
      </c>
      <c r="F92" s="14"/>
      <c r="G92" s="14" t="s">
        <v>388</v>
      </c>
      <c r="H92" s="26" t="s">
        <v>389</v>
      </c>
      <c r="I92" s="105">
        <v>151.97999999999999</v>
      </c>
      <c r="J92" s="16">
        <v>42814</v>
      </c>
      <c r="K92" s="16">
        <v>42814</v>
      </c>
      <c r="L92" s="15"/>
      <c r="M92" s="15" t="s">
        <v>480</v>
      </c>
      <c r="N92" s="14" t="s">
        <v>390</v>
      </c>
    </row>
    <row r="93" spans="1:14" ht="22.5">
      <c r="A93" s="25" t="s">
        <v>391</v>
      </c>
      <c r="B93" s="24">
        <v>42815</v>
      </c>
      <c r="C93" s="25" t="s">
        <v>392</v>
      </c>
      <c r="D93" s="14" t="s">
        <v>36</v>
      </c>
      <c r="E93" s="14" t="str">
        <f t="shared" si="0"/>
        <v>Affidamento in economia - affidamento diretto</v>
      </c>
      <c r="F93" s="14"/>
      <c r="G93" s="14" t="s">
        <v>281</v>
      </c>
      <c r="H93" s="26" t="s">
        <v>282</v>
      </c>
      <c r="I93" s="105">
        <v>400</v>
      </c>
      <c r="J93" s="16">
        <v>42814</v>
      </c>
      <c r="K93" s="16">
        <v>43179</v>
      </c>
      <c r="L93" s="15"/>
      <c r="M93" s="15" t="s">
        <v>481</v>
      </c>
      <c r="N93" s="14" t="s">
        <v>397</v>
      </c>
    </row>
    <row r="94" spans="1:14" s="47" customFormat="1" ht="22.5">
      <c r="A94" s="32" t="s">
        <v>393</v>
      </c>
      <c r="B94" s="51">
        <v>42815</v>
      </c>
      <c r="C94" s="32" t="s">
        <v>394</v>
      </c>
      <c r="D94" s="37" t="s">
        <v>36</v>
      </c>
      <c r="E94" s="37" t="str">
        <f t="shared" si="0"/>
        <v>Affidamento in economia - affidamento diretto</v>
      </c>
      <c r="F94" s="37"/>
      <c r="G94" s="37" t="s">
        <v>395</v>
      </c>
      <c r="H94" s="137" t="s">
        <v>396</v>
      </c>
      <c r="I94" s="139">
        <v>250</v>
      </c>
      <c r="J94" s="49">
        <v>42736</v>
      </c>
      <c r="K94" s="49">
        <v>42855</v>
      </c>
      <c r="L94" s="36">
        <v>76.88</v>
      </c>
      <c r="M94" s="36" t="s">
        <v>609</v>
      </c>
      <c r="N94" s="37" t="s">
        <v>608</v>
      </c>
    </row>
    <row r="95" spans="1:14" ht="22.5">
      <c r="A95" s="101" t="s">
        <v>498</v>
      </c>
      <c r="B95" s="24">
        <v>42815</v>
      </c>
      <c r="C95" s="101" t="s">
        <v>499</v>
      </c>
      <c r="D95" s="14" t="s">
        <v>36</v>
      </c>
      <c r="E95" s="14" t="str">
        <f t="shared" si="0"/>
        <v>Affidamento in economia - affidamento diretto</v>
      </c>
      <c r="F95" s="14"/>
      <c r="G95" s="25" t="s">
        <v>500</v>
      </c>
      <c r="H95" s="27" t="s">
        <v>501</v>
      </c>
      <c r="I95" s="105">
        <v>20</v>
      </c>
      <c r="J95" s="16">
        <v>42816</v>
      </c>
      <c r="K95" s="16">
        <v>42817</v>
      </c>
      <c r="L95" s="15">
        <v>21.22</v>
      </c>
      <c r="M95" s="15" t="s">
        <v>503</v>
      </c>
      <c r="N95" s="14" t="s">
        <v>502</v>
      </c>
    </row>
    <row r="96" spans="1:14" ht="22.5">
      <c r="A96" s="57" t="s">
        <v>398</v>
      </c>
      <c r="B96" s="24">
        <v>42816</v>
      </c>
      <c r="C96" s="57" t="s">
        <v>399</v>
      </c>
      <c r="D96" s="14" t="s">
        <v>36</v>
      </c>
      <c r="E96" s="14" t="str">
        <f t="shared" si="0"/>
        <v>Affidamento in economia - affidamento diretto</v>
      </c>
      <c r="F96" s="14"/>
      <c r="G96" s="35" t="s">
        <v>237</v>
      </c>
      <c r="H96" s="53" t="s">
        <v>238</v>
      </c>
      <c r="I96" s="105">
        <v>200</v>
      </c>
      <c r="J96" s="16">
        <v>42816</v>
      </c>
      <c r="K96" s="16">
        <v>42817</v>
      </c>
      <c r="L96" s="15">
        <v>200</v>
      </c>
      <c r="M96" s="15" t="s">
        <v>483</v>
      </c>
      <c r="N96" s="14" t="s">
        <v>482</v>
      </c>
    </row>
    <row r="97" spans="1:14" ht="22.5">
      <c r="A97" s="14" t="s">
        <v>407</v>
      </c>
      <c r="B97" s="24">
        <v>42816</v>
      </c>
      <c r="C97" s="14" t="s">
        <v>408</v>
      </c>
      <c r="D97" s="14" t="s">
        <v>17</v>
      </c>
      <c r="E97" s="14" t="s">
        <v>15</v>
      </c>
      <c r="F97" s="14"/>
      <c r="G97" s="14" t="s">
        <v>144</v>
      </c>
      <c r="H97" s="26" t="s">
        <v>145</v>
      </c>
      <c r="I97" s="105">
        <v>405</v>
      </c>
      <c r="J97" s="16">
        <v>42800</v>
      </c>
      <c r="K97" s="16">
        <v>42832</v>
      </c>
      <c r="L97" s="15">
        <v>405</v>
      </c>
      <c r="M97" s="15" t="s">
        <v>457</v>
      </c>
      <c r="N97" s="14" t="s">
        <v>409</v>
      </c>
    </row>
    <row r="98" spans="1:14" ht="22.5">
      <c r="A98" s="25" t="s">
        <v>400</v>
      </c>
      <c r="B98" s="24">
        <v>42816</v>
      </c>
      <c r="C98" s="57" t="s">
        <v>401</v>
      </c>
      <c r="D98" s="14" t="s">
        <v>36</v>
      </c>
      <c r="E98" s="14" t="str">
        <f t="shared" si="0"/>
        <v>Affidamento in economia - affidamento diretto</v>
      </c>
      <c r="F98" s="14"/>
      <c r="G98" s="14" t="s">
        <v>402</v>
      </c>
      <c r="H98" s="75" t="s">
        <v>403</v>
      </c>
      <c r="I98" s="105">
        <v>216</v>
      </c>
      <c r="J98" s="16">
        <v>42815</v>
      </c>
      <c r="K98" s="16">
        <v>42818</v>
      </c>
      <c r="L98" s="15">
        <f>216+(21.96/1.22)</f>
        <v>234</v>
      </c>
      <c r="M98" s="15" t="s">
        <v>485</v>
      </c>
      <c r="N98" s="14" t="s">
        <v>484</v>
      </c>
    </row>
    <row r="99" spans="1:14" ht="29.25" customHeight="1">
      <c r="A99" s="14" t="s">
        <v>410</v>
      </c>
      <c r="B99" s="24">
        <v>42816</v>
      </c>
      <c r="C99" s="14" t="s">
        <v>411</v>
      </c>
      <c r="D99" s="14" t="s">
        <v>14</v>
      </c>
      <c r="E99" s="14" t="s">
        <v>15</v>
      </c>
      <c r="F99" s="14"/>
      <c r="G99" s="14" t="s">
        <v>251</v>
      </c>
      <c r="H99" s="26" t="s">
        <v>252</v>
      </c>
      <c r="I99" s="105">
        <v>330</v>
      </c>
      <c r="J99" s="16">
        <v>42818</v>
      </c>
      <c r="K99" s="16">
        <v>43183</v>
      </c>
      <c r="L99" s="15">
        <f>402.6/1.22</f>
        <v>330</v>
      </c>
      <c r="M99" s="15" t="s">
        <v>486</v>
      </c>
      <c r="N99" s="14" t="s">
        <v>826</v>
      </c>
    </row>
    <row r="100" spans="1:14" ht="22.5">
      <c r="A100" s="14" t="s">
        <v>417</v>
      </c>
      <c r="B100" s="24">
        <v>42816</v>
      </c>
      <c r="C100" s="14" t="s">
        <v>418</v>
      </c>
      <c r="D100" s="14" t="s">
        <v>14</v>
      </c>
      <c r="E100" s="14" t="s">
        <v>15</v>
      </c>
      <c r="F100" s="14"/>
      <c r="G100" s="14" t="s">
        <v>419</v>
      </c>
      <c r="H100" s="26" t="s">
        <v>420</v>
      </c>
      <c r="I100" s="105">
        <v>1352.38</v>
      </c>
      <c r="J100" s="16">
        <v>42815</v>
      </c>
      <c r="K100" s="16">
        <v>43183</v>
      </c>
      <c r="L100" s="15">
        <f>1649.9/1.22</f>
        <v>1352.377049180328</v>
      </c>
      <c r="M100" s="15" t="s">
        <v>488</v>
      </c>
      <c r="N100" s="14" t="s">
        <v>421</v>
      </c>
    </row>
    <row r="101" spans="1:14" ht="22.5">
      <c r="A101" s="14" t="s">
        <v>412</v>
      </c>
      <c r="B101" s="24">
        <v>42816</v>
      </c>
      <c r="C101" s="14" t="s">
        <v>413</v>
      </c>
      <c r="D101" s="14" t="s">
        <v>14</v>
      </c>
      <c r="E101" s="14" t="s">
        <v>15</v>
      </c>
      <c r="F101" s="14"/>
      <c r="G101" s="14" t="s">
        <v>414</v>
      </c>
      <c r="H101" s="26" t="s">
        <v>415</v>
      </c>
      <c r="I101" s="105">
        <v>1695</v>
      </c>
      <c r="J101" s="16">
        <v>42811</v>
      </c>
      <c r="K101" s="16">
        <v>42842</v>
      </c>
      <c r="L101" s="15">
        <f>2067.9/1.22</f>
        <v>1695</v>
      </c>
      <c r="M101" s="15" t="s">
        <v>487</v>
      </c>
      <c r="N101" s="14" t="s">
        <v>416</v>
      </c>
    </row>
    <row r="102" spans="1:14" ht="22.5">
      <c r="A102" s="14" t="s">
        <v>422</v>
      </c>
      <c r="B102" s="24">
        <v>42817</v>
      </c>
      <c r="C102" s="14" t="s">
        <v>423</v>
      </c>
      <c r="D102" s="14" t="s">
        <v>14</v>
      </c>
      <c r="E102" s="14" t="s">
        <v>15</v>
      </c>
      <c r="F102" s="14"/>
      <c r="G102" s="14" t="s">
        <v>424</v>
      </c>
      <c r="H102" s="26" t="s">
        <v>425</v>
      </c>
      <c r="I102" s="105">
        <v>787</v>
      </c>
      <c r="J102" s="16">
        <v>42815</v>
      </c>
      <c r="K102" s="16">
        <v>43211</v>
      </c>
      <c r="L102" s="15">
        <f>844.41/1.22</f>
        <v>692.13934426229503</v>
      </c>
      <c r="M102" s="15" t="s">
        <v>490</v>
      </c>
      <c r="N102" s="14" t="s">
        <v>426</v>
      </c>
    </row>
    <row r="103" spans="1:14" s="47" customFormat="1" ht="22.5">
      <c r="A103" s="32" t="s">
        <v>427</v>
      </c>
      <c r="B103" s="51">
        <v>42818</v>
      </c>
      <c r="C103" s="141" t="s">
        <v>428</v>
      </c>
      <c r="D103" s="37" t="s">
        <v>36</v>
      </c>
      <c r="E103" s="37" t="str">
        <f t="shared" ref="E103" si="1">$E$74</f>
        <v>Affidamento in economia - affidamento diretto</v>
      </c>
      <c r="F103" s="37"/>
      <c r="G103" s="37" t="s">
        <v>429</v>
      </c>
      <c r="H103" s="154" t="s">
        <v>431</v>
      </c>
      <c r="I103" s="139">
        <v>3000</v>
      </c>
      <c r="J103" s="49">
        <v>42736</v>
      </c>
      <c r="K103" s="49">
        <v>43100</v>
      </c>
      <c r="L103" s="36">
        <f>250+250+250+(305/1.22)</f>
        <v>1000</v>
      </c>
      <c r="M103" s="36" t="s">
        <v>805</v>
      </c>
      <c r="N103" s="37" t="s">
        <v>430</v>
      </c>
    </row>
    <row r="104" spans="1:14" ht="22.5">
      <c r="A104" s="25" t="s">
        <v>432</v>
      </c>
      <c r="B104" s="24">
        <v>42821</v>
      </c>
      <c r="C104" s="25" t="s">
        <v>433</v>
      </c>
      <c r="D104" s="14" t="s">
        <v>14</v>
      </c>
      <c r="E104" s="14" t="s">
        <v>15</v>
      </c>
      <c r="F104" s="14"/>
      <c r="G104" s="25" t="s">
        <v>434</v>
      </c>
      <c r="H104" s="27" t="s">
        <v>435</v>
      </c>
      <c r="I104" s="105">
        <v>532.78</v>
      </c>
      <c r="J104" s="16">
        <v>42828</v>
      </c>
      <c r="K104" s="16">
        <v>42832</v>
      </c>
      <c r="L104" s="15">
        <f>650/1.22</f>
        <v>532.78688524590166</v>
      </c>
      <c r="M104" s="15" t="s">
        <v>491</v>
      </c>
      <c r="N104" s="14" t="s">
        <v>464</v>
      </c>
    </row>
    <row r="105" spans="1:14" ht="22.5">
      <c r="A105" s="57" t="s">
        <v>460</v>
      </c>
      <c r="B105" s="24">
        <v>42822</v>
      </c>
      <c r="C105" s="65" t="s">
        <v>461</v>
      </c>
      <c r="D105" s="14" t="s">
        <v>17</v>
      </c>
      <c r="E105" s="14" t="s">
        <v>15</v>
      </c>
      <c r="F105" s="14"/>
      <c r="G105" s="14" t="s">
        <v>462</v>
      </c>
      <c r="H105" s="27" t="s">
        <v>463</v>
      </c>
      <c r="I105" s="105">
        <v>457</v>
      </c>
      <c r="J105" s="16">
        <v>42818</v>
      </c>
      <c r="K105" s="16">
        <v>42825</v>
      </c>
      <c r="L105" s="15">
        <v>457</v>
      </c>
      <c r="M105" s="15" t="s">
        <v>492</v>
      </c>
      <c r="N105" s="14" t="s">
        <v>465</v>
      </c>
    </row>
    <row r="106" spans="1:14" ht="45">
      <c r="A106" s="14" t="s">
        <v>466</v>
      </c>
      <c r="B106" s="24">
        <f>$B$105</f>
        <v>42822</v>
      </c>
      <c r="C106" s="14" t="s">
        <v>467</v>
      </c>
      <c r="D106" s="14" t="str">
        <f>$D$104</f>
        <v>Forniture</v>
      </c>
      <c r="E106" s="14" t="str">
        <f t="shared" ref="E106:E112" si="2">$E$105</f>
        <v>Affidamento in economia - affidamento diretto</v>
      </c>
      <c r="F106" s="14"/>
      <c r="G106" s="14" t="str">
        <f>$G$49</f>
        <v>Maggioli S.p.a.</v>
      </c>
      <c r="H106" s="26" t="str">
        <f>$H$51</f>
        <v>002066400405</v>
      </c>
      <c r="I106" s="105">
        <v>6468.75</v>
      </c>
      <c r="J106" s="16">
        <v>42822</v>
      </c>
      <c r="K106" s="16">
        <v>42822</v>
      </c>
      <c r="L106" s="15">
        <f>3259.69/1.22+(4632.19/1.22)</f>
        <v>6468.7540983606559</v>
      </c>
      <c r="M106" s="15" t="s">
        <v>493</v>
      </c>
      <c r="N106" s="14" t="s">
        <v>832</v>
      </c>
    </row>
    <row r="107" spans="1:14" ht="22.5">
      <c r="A107" s="14" t="s">
        <v>468</v>
      </c>
      <c r="B107" s="24">
        <f>$B$106</f>
        <v>42822</v>
      </c>
      <c r="C107" s="14" t="s">
        <v>469</v>
      </c>
      <c r="D107" s="14" t="s">
        <v>17</v>
      </c>
      <c r="E107" s="14" t="str">
        <f t="shared" si="2"/>
        <v>Affidamento in economia - affidamento diretto</v>
      </c>
      <c r="F107" s="14"/>
      <c r="G107" s="14" t="s">
        <v>758</v>
      </c>
      <c r="H107" s="27" t="s">
        <v>470</v>
      </c>
      <c r="I107" s="105">
        <v>1800</v>
      </c>
      <c r="J107" s="16">
        <v>42823</v>
      </c>
      <c r="K107" s="16">
        <v>42829</v>
      </c>
      <c r="L107" s="15">
        <f>2196/1.22</f>
        <v>1800</v>
      </c>
      <c r="M107" s="15" t="s">
        <v>489</v>
      </c>
      <c r="N107" s="14" t="s">
        <v>831</v>
      </c>
    </row>
    <row r="108" spans="1:14" ht="22.5">
      <c r="A108" s="14" t="s">
        <v>471</v>
      </c>
      <c r="B108" s="24">
        <v>42823</v>
      </c>
      <c r="C108" s="14" t="s">
        <v>472</v>
      </c>
      <c r="D108" s="14" t="s">
        <v>36</v>
      </c>
      <c r="E108" s="14" t="str">
        <f t="shared" si="2"/>
        <v>Affidamento in economia - affidamento diretto</v>
      </c>
      <c r="F108" s="14"/>
      <c r="G108" s="14" t="s">
        <v>231</v>
      </c>
      <c r="H108" s="26" t="s">
        <v>232</v>
      </c>
      <c r="I108" s="136">
        <v>364</v>
      </c>
      <c r="J108" s="16">
        <v>42811</v>
      </c>
      <c r="K108" s="16">
        <v>42811</v>
      </c>
      <c r="L108" s="15">
        <f>444.08/1.22</f>
        <v>364</v>
      </c>
      <c r="M108" s="15" t="s">
        <v>510</v>
      </c>
      <c r="N108" s="14" t="s">
        <v>830</v>
      </c>
    </row>
    <row r="109" spans="1:14" ht="22.5">
      <c r="A109" s="57" t="s">
        <v>473</v>
      </c>
      <c r="B109" s="24">
        <v>42824</v>
      </c>
      <c r="C109" s="57" t="s">
        <v>474</v>
      </c>
      <c r="D109" s="14" t="s">
        <v>17</v>
      </c>
      <c r="E109" s="14" t="str">
        <f t="shared" si="2"/>
        <v>Affidamento in economia - affidamento diretto</v>
      </c>
      <c r="F109" s="14"/>
      <c r="G109" s="14" t="s">
        <v>102</v>
      </c>
      <c r="H109" s="27" t="s">
        <v>103</v>
      </c>
      <c r="I109" s="130">
        <v>4967.45</v>
      </c>
      <c r="J109" s="16">
        <v>42826</v>
      </c>
      <c r="K109" s="16">
        <v>42855</v>
      </c>
      <c r="L109" s="15">
        <v>3039.24</v>
      </c>
      <c r="M109" s="15" t="s">
        <v>611</v>
      </c>
      <c r="N109" s="14" t="s">
        <v>610</v>
      </c>
    </row>
    <row r="110" spans="1:14" ht="22.5">
      <c r="A110" s="14" t="s">
        <v>475</v>
      </c>
      <c r="B110" s="24">
        <f>$B$109</f>
        <v>42824</v>
      </c>
      <c r="C110" s="14" t="s">
        <v>476</v>
      </c>
      <c r="D110" s="14" t="s">
        <v>14</v>
      </c>
      <c r="E110" s="14" t="str">
        <f t="shared" si="2"/>
        <v>Affidamento in economia - affidamento diretto</v>
      </c>
      <c r="F110" s="14"/>
      <c r="G110" s="14" t="s">
        <v>91</v>
      </c>
      <c r="H110" s="27" t="s">
        <v>92</v>
      </c>
      <c r="I110" s="130">
        <v>1003.6</v>
      </c>
      <c r="J110" s="16">
        <v>42822</v>
      </c>
      <c r="K110" s="16">
        <v>42853</v>
      </c>
      <c r="L110" s="15">
        <f>1224.39/1.22</f>
        <v>1003.5983606557378</v>
      </c>
      <c r="M110" s="15" t="s">
        <v>511</v>
      </c>
      <c r="N110" s="14" t="s">
        <v>829</v>
      </c>
    </row>
    <row r="111" spans="1:14" ht="22.5">
      <c r="A111" s="14" t="s">
        <v>504</v>
      </c>
      <c r="B111" s="24">
        <v>42825</v>
      </c>
      <c r="C111" s="14" t="s">
        <v>505</v>
      </c>
      <c r="D111" s="14" t="s">
        <v>17</v>
      </c>
      <c r="E111" s="14" t="str">
        <f t="shared" si="2"/>
        <v>Affidamento in economia - affidamento diretto</v>
      </c>
      <c r="F111" s="14"/>
      <c r="G111" s="14" t="s">
        <v>144</v>
      </c>
      <c r="H111" s="26" t="s">
        <v>145</v>
      </c>
      <c r="I111" s="136">
        <v>216</v>
      </c>
      <c r="J111" s="16">
        <v>42823</v>
      </c>
      <c r="K111" s="16">
        <v>42824</v>
      </c>
      <c r="L111" s="15">
        <v>216</v>
      </c>
      <c r="M111" s="15" t="s">
        <v>512</v>
      </c>
      <c r="N111" s="14" t="s">
        <v>828</v>
      </c>
    </row>
    <row r="112" spans="1:14" ht="33.75">
      <c r="A112" s="14" t="s">
        <v>506</v>
      </c>
      <c r="B112" s="24">
        <v>42825</v>
      </c>
      <c r="C112" s="14" t="s">
        <v>507</v>
      </c>
      <c r="D112" s="14" t="s">
        <v>36</v>
      </c>
      <c r="E112" s="14" t="str">
        <f t="shared" si="2"/>
        <v>Affidamento in economia - affidamento diretto</v>
      </c>
      <c r="F112" s="14"/>
      <c r="G112" s="14" t="str">
        <f>$G$49</f>
        <v>Maggioli S.p.a.</v>
      </c>
      <c r="H112" s="26" t="str">
        <f>$H$51</f>
        <v>002066400405</v>
      </c>
      <c r="I112" s="136">
        <v>1700</v>
      </c>
      <c r="J112" s="16">
        <v>42825</v>
      </c>
      <c r="K112" s="16">
        <v>42825</v>
      </c>
      <c r="L112" s="15"/>
      <c r="M112" s="15" t="s">
        <v>513</v>
      </c>
      <c r="N112" s="14" t="s">
        <v>827</v>
      </c>
    </row>
    <row r="113" spans="1:14" ht="22.5">
      <c r="A113" s="14" t="s">
        <v>514</v>
      </c>
      <c r="B113" s="24">
        <v>42829</v>
      </c>
      <c r="C113" s="14" t="s">
        <v>515</v>
      </c>
      <c r="D113" s="14" t="s">
        <v>14</v>
      </c>
      <c r="E113" s="14" t="s">
        <v>15</v>
      </c>
      <c r="F113" s="14"/>
      <c r="G113" s="14" t="s">
        <v>91</v>
      </c>
      <c r="H113" s="26">
        <v>4065160964</v>
      </c>
      <c r="I113" s="136">
        <v>3530</v>
      </c>
      <c r="J113" s="16">
        <v>42822</v>
      </c>
      <c r="K113" s="16">
        <v>42853</v>
      </c>
      <c r="L113" s="15">
        <v>3550</v>
      </c>
      <c r="M113" s="15" t="s">
        <v>612</v>
      </c>
      <c r="N113" s="14" t="s">
        <v>516</v>
      </c>
    </row>
    <row r="114" spans="1:14" ht="22.5">
      <c r="A114" s="14" t="s">
        <v>517</v>
      </c>
      <c r="B114" s="24">
        <v>42830</v>
      </c>
      <c r="C114" s="14" t="s">
        <v>518</v>
      </c>
      <c r="D114" s="14" t="s">
        <v>14</v>
      </c>
      <c r="E114" s="14" t="s">
        <v>15</v>
      </c>
      <c r="F114" s="14"/>
      <c r="G114" s="14" t="s">
        <v>380</v>
      </c>
      <c r="H114" s="26">
        <v>8055750965</v>
      </c>
      <c r="I114" s="136">
        <v>1780</v>
      </c>
      <c r="J114" s="16">
        <v>42829</v>
      </c>
      <c r="K114" s="16">
        <v>42859</v>
      </c>
      <c r="L114" s="15">
        <f>2280.18/1.22</f>
        <v>1869</v>
      </c>
      <c r="M114" s="15" t="s">
        <v>613</v>
      </c>
      <c r="N114" s="14" t="s">
        <v>519</v>
      </c>
    </row>
    <row r="115" spans="1:14" ht="22.5">
      <c r="A115" s="14" t="s">
        <v>520</v>
      </c>
      <c r="B115" s="24">
        <v>42835</v>
      </c>
      <c r="C115" s="14" t="s">
        <v>521</v>
      </c>
      <c r="D115" s="14" t="s">
        <v>14</v>
      </c>
      <c r="E115" s="14" t="s">
        <v>15</v>
      </c>
      <c r="F115" s="14"/>
      <c r="G115" s="14" t="s">
        <v>155</v>
      </c>
      <c r="H115" s="26">
        <v>2066400405</v>
      </c>
      <c r="I115" s="136">
        <v>1101.1199999999999</v>
      </c>
      <c r="J115" s="16">
        <v>42843</v>
      </c>
      <c r="K115" s="16">
        <v>42843</v>
      </c>
      <c r="L115" s="15">
        <f>1370.3/1.22</f>
        <v>1123.1967213114754</v>
      </c>
      <c r="M115" s="15" t="s">
        <v>614</v>
      </c>
      <c r="N115" s="14" t="s">
        <v>825</v>
      </c>
    </row>
    <row r="116" spans="1:14" s="47" customFormat="1" ht="22.5">
      <c r="A116" s="63" t="s">
        <v>522</v>
      </c>
      <c r="B116" s="51">
        <v>42836</v>
      </c>
      <c r="C116" s="63" t="s">
        <v>523</v>
      </c>
      <c r="D116" s="37" t="s">
        <v>36</v>
      </c>
      <c r="E116" s="37" t="str">
        <f t="shared" ref="E116:E126" si="3">$E$105</f>
        <v>Affidamento in economia - affidamento diretto</v>
      </c>
      <c r="F116" s="37"/>
      <c r="G116" s="37" t="s">
        <v>524</v>
      </c>
      <c r="H116" s="53" t="s">
        <v>525</v>
      </c>
      <c r="I116" s="153">
        <v>1060</v>
      </c>
      <c r="J116" s="49">
        <v>42699</v>
      </c>
      <c r="K116" s="49">
        <v>43428</v>
      </c>
      <c r="L116" s="36">
        <f>146.7+80+80+80</f>
        <v>386.7</v>
      </c>
      <c r="M116" s="36" t="s">
        <v>527</v>
      </c>
      <c r="N116" s="37" t="s">
        <v>526</v>
      </c>
    </row>
    <row r="117" spans="1:14" ht="22.5">
      <c r="A117" s="57" t="s">
        <v>529</v>
      </c>
      <c r="B117" s="24">
        <v>42844</v>
      </c>
      <c r="C117" s="57" t="s">
        <v>530</v>
      </c>
      <c r="D117" s="14" t="s">
        <v>17</v>
      </c>
      <c r="E117" s="14" t="str">
        <f t="shared" si="3"/>
        <v>Affidamento in economia - affidamento diretto</v>
      </c>
      <c r="F117" s="14"/>
      <c r="G117" s="14" t="s">
        <v>84</v>
      </c>
      <c r="H117" s="27" t="s">
        <v>85</v>
      </c>
      <c r="I117" s="130">
        <v>352</v>
      </c>
      <c r="J117" s="16">
        <v>42836</v>
      </c>
      <c r="K117" s="16">
        <v>42839</v>
      </c>
      <c r="L117" s="15">
        <v>352</v>
      </c>
      <c r="M117" s="15" t="s">
        <v>615</v>
      </c>
      <c r="N117" s="14" t="s">
        <v>531</v>
      </c>
    </row>
    <row r="118" spans="1:14" s="47" customFormat="1" ht="33.75">
      <c r="A118" s="63" t="s">
        <v>532</v>
      </c>
      <c r="B118" s="51">
        <v>42845</v>
      </c>
      <c r="C118" s="141" t="s">
        <v>533</v>
      </c>
      <c r="D118" s="37" t="s">
        <v>36</v>
      </c>
      <c r="E118" s="37" t="str">
        <f t="shared" si="3"/>
        <v>Affidamento in economia - affidamento diretto</v>
      </c>
      <c r="F118" s="37"/>
      <c r="G118" s="35" t="s">
        <v>237</v>
      </c>
      <c r="H118" s="53" t="s">
        <v>238</v>
      </c>
      <c r="I118" s="153">
        <v>1410.75</v>
      </c>
      <c r="J118" s="49">
        <v>42736</v>
      </c>
      <c r="K118" s="49">
        <v>43100</v>
      </c>
      <c r="L118" s="36">
        <f>213.75+(58.56/1.22)+(91.5/1.22)</f>
        <v>336.75</v>
      </c>
      <c r="M118" s="36" t="s">
        <v>1049</v>
      </c>
      <c r="N118" s="37" t="s">
        <v>983</v>
      </c>
    </row>
    <row r="119" spans="1:14" s="47" customFormat="1" ht="22.5">
      <c r="A119" s="63" t="s">
        <v>534</v>
      </c>
      <c r="B119" s="51">
        <v>42845</v>
      </c>
      <c r="C119" s="63" t="s">
        <v>535</v>
      </c>
      <c r="D119" s="37" t="s">
        <v>14</v>
      </c>
      <c r="E119" s="37" t="s">
        <v>15</v>
      </c>
      <c r="F119" s="37"/>
      <c r="G119" s="37" t="s">
        <v>536</v>
      </c>
      <c r="H119" s="53" t="s">
        <v>537</v>
      </c>
      <c r="I119" s="153">
        <v>2500</v>
      </c>
      <c r="J119" s="49">
        <v>42685</v>
      </c>
      <c r="K119" s="49">
        <v>43100</v>
      </c>
      <c r="L119" s="36">
        <f>483.42+308.43+315.62</f>
        <v>1107.47</v>
      </c>
      <c r="M119" s="36" t="s">
        <v>539</v>
      </c>
      <c r="N119" s="37" t="s">
        <v>538</v>
      </c>
    </row>
    <row r="120" spans="1:14" s="47" customFormat="1" ht="22.5">
      <c r="A120" s="63" t="s">
        <v>540</v>
      </c>
      <c r="B120" s="51">
        <v>42851</v>
      </c>
      <c r="C120" s="63" t="s">
        <v>541</v>
      </c>
      <c r="D120" s="37" t="s">
        <v>36</v>
      </c>
      <c r="E120" s="37" t="str">
        <f t="shared" si="3"/>
        <v>Affidamento in economia - affidamento diretto</v>
      </c>
      <c r="F120" s="37"/>
      <c r="G120" s="37" t="s">
        <v>256</v>
      </c>
      <c r="H120" s="53" t="s">
        <v>257</v>
      </c>
      <c r="I120" s="153">
        <v>1750</v>
      </c>
      <c r="J120" s="49">
        <v>42856</v>
      </c>
      <c r="K120" s="49">
        <v>43100</v>
      </c>
      <c r="L120" s="36"/>
      <c r="M120" s="36" t="s">
        <v>618</v>
      </c>
      <c r="N120" s="37" t="s">
        <v>542</v>
      </c>
    </row>
    <row r="121" spans="1:14" ht="22.5">
      <c r="A121" s="57" t="s">
        <v>543</v>
      </c>
      <c r="B121" s="24">
        <v>42852</v>
      </c>
      <c r="C121" s="57" t="s">
        <v>544</v>
      </c>
      <c r="D121" s="14" t="s">
        <v>36</v>
      </c>
      <c r="E121" s="14" t="str">
        <f t="shared" si="3"/>
        <v>Affidamento in economia - affidamento diretto</v>
      </c>
      <c r="F121" s="14"/>
      <c r="G121" s="14" t="s">
        <v>545</v>
      </c>
      <c r="H121" s="31" t="s">
        <v>546</v>
      </c>
      <c r="I121" s="130">
        <v>154</v>
      </c>
      <c r="J121" s="16">
        <v>42854</v>
      </c>
      <c r="K121" s="16">
        <v>43218</v>
      </c>
      <c r="L121" s="15">
        <v>154</v>
      </c>
      <c r="M121" s="15" t="s">
        <v>623</v>
      </c>
      <c r="N121" s="14" t="s">
        <v>622</v>
      </c>
    </row>
    <row r="122" spans="1:14" ht="22.5">
      <c r="A122" s="14" t="s">
        <v>549</v>
      </c>
      <c r="B122" s="24">
        <v>42852</v>
      </c>
      <c r="C122" s="37" t="s">
        <v>551</v>
      </c>
      <c r="D122" s="14" t="str">
        <f>$D$117</f>
        <v>Lavori</v>
      </c>
      <c r="E122" s="14" t="str">
        <f t="shared" si="3"/>
        <v>Affidamento in economia - affidamento diretto</v>
      </c>
      <c r="F122" s="14"/>
      <c r="G122" s="14" t="s">
        <v>168</v>
      </c>
      <c r="H122" s="26" t="s">
        <v>169</v>
      </c>
      <c r="I122" s="136">
        <v>280</v>
      </c>
      <c r="J122" s="16">
        <v>42795</v>
      </c>
      <c r="K122" s="16">
        <v>42852</v>
      </c>
      <c r="L122" s="15">
        <v>280</v>
      </c>
      <c r="M122" s="15" t="s">
        <v>619</v>
      </c>
      <c r="N122" s="14" t="s">
        <v>550</v>
      </c>
    </row>
    <row r="123" spans="1:14" ht="22.5">
      <c r="A123" s="25" t="s">
        <v>552</v>
      </c>
      <c r="B123" s="24">
        <v>42857</v>
      </c>
      <c r="C123" s="25" t="s">
        <v>553</v>
      </c>
      <c r="D123" s="14" t="s">
        <v>36</v>
      </c>
      <c r="E123" s="14" t="str">
        <f t="shared" si="3"/>
        <v>Affidamento in economia - affidamento diretto</v>
      </c>
      <c r="F123" s="14"/>
      <c r="G123" s="14" t="s">
        <v>144</v>
      </c>
      <c r="H123" s="26" t="s">
        <v>145</v>
      </c>
      <c r="I123" s="130">
        <v>185</v>
      </c>
      <c r="J123" s="16">
        <v>42833</v>
      </c>
      <c r="K123" s="16">
        <v>42852</v>
      </c>
      <c r="L123" s="15">
        <f>225.7/1.22</f>
        <v>185</v>
      </c>
      <c r="M123" s="15" t="s">
        <v>617</v>
      </c>
      <c r="N123" s="14" t="s">
        <v>554</v>
      </c>
    </row>
    <row r="124" spans="1:14" s="47" customFormat="1" ht="22.5">
      <c r="A124" s="63" t="s">
        <v>555</v>
      </c>
      <c r="B124" s="51">
        <v>42857</v>
      </c>
      <c r="C124" s="63" t="s">
        <v>556</v>
      </c>
      <c r="D124" s="37" t="s">
        <v>36</v>
      </c>
      <c r="E124" s="37" t="str">
        <f t="shared" si="3"/>
        <v>Affidamento in economia - affidamento diretto</v>
      </c>
      <c r="F124" s="37"/>
      <c r="G124" s="37" t="s">
        <v>189</v>
      </c>
      <c r="H124" s="53" t="s">
        <v>59</v>
      </c>
      <c r="I124" s="153">
        <v>26132</v>
      </c>
      <c r="J124" s="49">
        <v>42856</v>
      </c>
      <c r="K124" s="49">
        <v>43830</v>
      </c>
      <c r="L124" s="36">
        <f>12332.6</f>
        <v>12332.6</v>
      </c>
      <c r="M124" s="36" t="s">
        <v>621</v>
      </c>
      <c r="N124" s="37" t="s">
        <v>620</v>
      </c>
    </row>
    <row r="125" spans="1:14" ht="33.75">
      <c r="A125" s="57" t="s">
        <v>557</v>
      </c>
      <c r="B125" s="24">
        <v>42857</v>
      </c>
      <c r="C125" s="57" t="s">
        <v>558</v>
      </c>
      <c r="D125" s="14" t="str">
        <f>$D$117</f>
        <v>Lavori</v>
      </c>
      <c r="E125" s="14" t="str">
        <f t="shared" si="3"/>
        <v>Affidamento in economia - affidamento diretto</v>
      </c>
      <c r="F125" s="14" t="s">
        <v>694</v>
      </c>
      <c r="G125" s="25" t="s">
        <v>559</v>
      </c>
      <c r="H125" s="27" t="s">
        <v>566</v>
      </c>
      <c r="I125" s="130">
        <v>5200</v>
      </c>
      <c r="J125" s="16">
        <v>42865</v>
      </c>
      <c r="K125" s="16">
        <v>42877</v>
      </c>
      <c r="L125" s="15">
        <f>1000+(5124/1.22)</f>
        <v>5200</v>
      </c>
      <c r="M125" s="15" t="s">
        <v>616</v>
      </c>
      <c r="N125" s="14" t="s">
        <v>654</v>
      </c>
    </row>
    <row r="126" spans="1:14" ht="45">
      <c r="A126" s="57" t="s">
        <v>560</v>
      </c>
      <c r="B126" s="24">
        <v>42858</v>
      </c>
      <c r="C126" s="57" t="s">
        <v>561</v>
      </c>
      <c r="D126" s="14" t="s">
        <v>36</v>
      </c>
      <c r="E126" s="14" t="str">
        <f t="shared" si="3"/>
        <v>Affidamento in economia - affidamento diretto</v>
      </c>
      <c r="F126" s="14" t="s">
        <v>565</v>
      </c>
      <c r="G126" s="14" t="s">
        <v>562</v>
      </c>
      <c r="H126" s="26" t="s">
        <v>563</v>
      </c>
      <c r="I126" s="105">
        <v>480</v>
      </c>
      <c r="J126" s="16">
        <v>42865</v>
      </c>
      <c r="K126" s="16">
        <v>43230</v>
      </c>
      <c r="L126" s="15">
        <f>585.6/1.22</f>
        <v>480.00000000000006</v>
      </c>
      <c r="M126" s="15" t="s">
        <v>624</v>
      </c>
      <c r="N126" s="14" t="s">
        <v>564</v>
      </c>
    </row>
    <row r="127" spans="1:14" ht="22.5">
      <c r="A127" s="65" t="s">
        <v>567</v>
      </c>
      <c r="B127" s="24">
        <v>42858</v>
      </c>
      <c r="C127" s="65" t="s">
        <v>568</v>
      </c>
      <c r="D127" s="14" t="s">
        <v>14</v>
      </c>
      <c r="E127" s="14" t="s">
        <v>15</v>
      </c>
      <c r="F127" s="14"/>
      <c r="G127" s="14" t="s">
        <v>569</v>
      </c>
      <c r="H127" s="23">
        <v>1387750555</v>
      </c>
      <c r="I127" s="105">
        <v>2337</v>
      </c>
      <c r="J127" s="16">
        <v>42870</v>
      </c>
      <c r="K127" s="16">
        <v>42870</v>
      </c>
      <c r="L127" s="15">
        <f>2851.14/1.22</f>
        <v>2337</v>
      </c>
      <c r="M127" s="15" t="s">
        <v>625</v>
      </c>
      <c r="N127" s="14" t="s">
        <v>570</v>
      </c>
    </row>
    <row r="128" spans="1:14" s="47" customFormat="1" ht="33.75">
      <c r="A128" s="63" t="s">
        <v>571</v>
      </c>
      <c r="B128" s="51">
        <v>42860</v>
      </c>
      <c r="C128" s="37" t="s">
        <v>572</v>
      </c>
      <c r="D128" s="37" t="s">
        <v>14</v>
      </c>
      <c r="E128" s="37" t="s">
        <v>573</v>
      </c>
      <c r="F128" s="37"/>
      <c r="G128" s="37" t="s">
        <v>395</v>
      </c>
      <c r="H128" s="137" t="s">
        <v>396</v>
      </c>
      <c r="I128" s="139">
        <v>320</v>
      </c>
      <c r="J128" s="49">
        <v>42856</v>
      </c>
      <c r="K128" s="49">
        <v>43100</v>
      </c>
      <c r="L128" s="36"/>
      <c r="M128" s="36" t="s">
        <v>637</v>
      </c>
      <c r="N128" s="37" t="s">
        <v>653</v>
      </c>
    </row>
    <row r="129" spans="1:14" ht="22.5">
      <c r="A129" s="57" t="s">
        <v>574</v>
      </c>
      <c r="B129" s="24">
        <v>42863</v>
      </c>
      <c r="C129" s="57" t="s">
        <v>575</v>
      </c>
      <c r="D129" s="14" t="str">
        <f>$D$117</f>
        <v>Lavori</v>
      </c>
      <c r="E129" s="14" t="str">
        <f t="shared" ref="E129" si="4">$E$105</f>
        <v>Affidamento in economia - affidamento diretto</v>
      </c>
      <c r="F129" s="14"/>
      <c r="G129" s="14" t="s">
        <v>429</v>
      </c>
      <c r="H129" s="28" t="s">
        <v>431</v>
      </c>
      <c r="I129" s="105">
        <v>550</v>
      </c>
      <c r="J129" s="16">
        <v>42858</v>
      </c>
      <c r="K129" s="16">
        <v>42858</v>
      </c>
      <c r="L129" s="15">
        <f>671/1.22</f>
        <v>550</v>
      </c>
      <c r="M129" s="15" t="s">
        <v>626</v>
      </c>
      <c r="N129" s="14" t="s">
        <v>576</v>
      </c>
    </row>
    <row r="130" spans="1:14" s="47" customFormat="1" ht="22.5">
      <c r="A130" s="63" t="s">
        <v>577</v>
      </c>
      <c r="B130" s="51">
        <v>42864</v>
      </c>
      <c r="C130" s="63" t="s">
        <v>578</v>
      </c>
      <c r="D130" s="37" t="s">
        <v>14</v>
      </c>
      <c r="E130" s="37" t="s">
        <v>15</v>
      </c>
      <c r="F130" s="37"/>
      <c r="G130" s="37" t="s">
        <v>536</v>
      </c>
      <c r="H130" s="53" t="s">
        <v>537</v>
      </c>
      <c r="I130" s="139">
        <v>9000</v>
      </c>
      <c r="J130" s="49">
        <v>42685</v>
      </c>
      <c r="K130" s="49">
        <v>43100</v>
      </c>
      <c r="L130" s="36">
        <f>2104.08+209.84/1.22</f>
        <v>2276.08</v>
      </c>
      <c r="M130" s="36" t="s">
        <v>539</v>
      </c>
      <c r="N130" s="37" t="s">
        <v>627</v>
      </c>
    </row>
    <row r="131" spans="1:14" ht="45">
      <c r="A131" s="57" t="s">
        <v>580</v>
      </c>
      <c r="B131" s="24">
        <v>42864</v>
      </c>
      <c r="C131" s="87" t="s">
        <v>581</v>
      </c>
      <c r="D131" s="14" t="s">
        <v>14</v>
      </c>
      <c r="E131" s="14" t="s">
        <v>15</v>
      </c>
      <c r="F131" s="14" t="s">
        <v>582</v>
      </c>
      <c r="G131" s="14" t="s">
        <v>583</v>
      </c>
      <c r="H131" s="26" t="s">
        <v>584</v>
      </c>
      <c r="I131" s="105">
        <v>1680</v>
      </c>
      <c r="J131" s="16">
        <v>42870</v>
      </c>
      <c r="K131" s="16">
        <v>42877</v>
      </c>
      <c r="L131" s="15">
        <f>2049.6/1.22</f>
        <v>1680</v>
      </c>
      <c r="M131" s="15" t="s">
        <v>628</v>
      </c>
      <c r="N131" s="14" t="s">
        <v>585</v>
      </c>
    </row>
    <row r="132" spans="1:14" ht="22.5">
      <c r="A132" s="57" t="s">
        <v>586</v>
      </c>
      <c r="B132" s="24">
        <v>42864</v>
      </c>
      <c r="C132" s="57" t="s">
        <v>587</v>
      </c>
      <c r="D132" s="14" t="s">
        <v>36</v>
      </c>
      <c r="E132" s="14" t="str">
        <f t="shared" ref="E132:E143" si="5">$E$105</f>
        <v>Affidamento in economia - affidamento diretto</v>
      </c>
      <c r="F132" s="14"/>
      <c r="G132" s="14" t="s">
        <v>395</v>
      </c>
      <c r="H132" s="31" t="s">
        <v>396</v>
      </c>
      <c r="I132" s="105">
        <v>1200</v>
      </c>
      <c r="J132" s="16">
        <v>42767</v>
      </c>
      <c r="K132" s="16">
        <v>43100</v>
      </c>
      <c r="L132" s="15">
        <f>160.38+178.36+177.18</f>
        <v>515.92000000000007</v>
      </c>
      <c r="M132" s="15" t="s">
        <v>697</v>
      </c>
      <c r="N132" s="14" t="s">
        <v>579</v>
      </c>
    </row>
    <row r="133" spans="1:14" ht="22.5">
      <c r="A133" s="25" t="s">
        <v>588</v>
      </c>
      <c r="B133" s="24">
        <v>42865</v>
      </c>
      <c r="C133" s="25" t="s">
        <v>589</v>
      </c>
      <c r="D133" s="14" t="s">
        <v>36</v>
      </c>
      <c r="E133" s="14" t="str">
        <f t="shared" si="5"/>
        <v>Affidamento in economia - affidamento diretto</v>
      </c>
      <c r="F133" s="14"/>
      <c r="G133" s="14" t="s">
        <v>395</v>
      </c>
      <c r="H133" s="31" t="s">
        <v>396</v>
      </c>
      <c r="I133" s="105">
        <f>3775+285.93</f>
        <v>4060.93</v>
      </c>
      <c r="J133" s="16">
        <v>42887</v>
      </c>
      <c r="K133" s="16">
        <v>43251</v>
      </c>
      <c r="L133" s="15">
        <f>234.87+44.73</f>
        <v>279.60000000000002</v>
      </c>
      <c r="M133" s="15" t="s">
        <v>695</v>
      </c>
      <c r="N133" s="14" t="s">
        <v>696</v>
      </c>
    </row>
    <row r="134" spans="1:14" ht="22.5">
      <c r="A134" s="57" t="s">
        <v>590</v>
      </c>
      <c r="B134" s="24">
        <v>42865</v>
      </c>
      <c r="C134" s="57" t="s">
        <v>591</v>
      </c>
      <c r="D134" s="14" t="str">
        <f>$D$117</f>
        <v>Lavori</v>
      </c>
      <c r="E134" s="14" t="str">
        <f t="shared" si="5"/>
        <v>Affidamento in economia - affidamento diretto</v>
      </c>
      <c r="F134" s="14"/>
      <c r="G134" s="14" t="s">
        <v>144</v>
      </c>
      <c r="H134" s="26" t="s">
        <v>145</v>
      </c>
      <c r="I134" s="105">
        <v>798</v>
      </c>
      <c r="J134" s="16">
        <v>42840</v>
      </c>
      <c r="K134" s="16">
        <v>42870</v>
      </c>
      <c r="L134" s="15">
        <v>798</v>
      </c>
      <c r="M134" s="15" t="s">
        <v>677</v>
      </c>
      <c r="N134" s="14" t="s">
        <v>592</v>
      </c>
    </row>
    <row r="135" spans="1:14" s="47" customFormat="1" ht="22.5">
      <c r="A135" s="63" t="s">
        <v>593</v>
      </c>
      <c r="B135" s="51">
        <v>42865</v>
      </c>
      <c r="C135" s="37" t="s">
        <v>594</v>
      </c>
      <c r="D135" s="37" t="s">
        <v>36</v>
      </c>
      <c r="E135" s="37" t="str">
        <f t="shared" si="5"/>
        <v>Affidamento in economia - affidamento diretto</v>
      </c>
      <c r="F135" s="37"/>
      <c r="G135" s="37" t="s">
        <v>395</v>
      </c>
      <c r="H135" s="137" t="s">
        <v>396</v>
      </c>
      <c r="I135" s="139">
        <v>8800</v>
      </c>
      <c r="J135" s="49">
        <v>42767</v>
      </c>
      <c r="K135" s="49">
        <v>43100</v>
      </c>
      <c r="L135" s="36">
        <f>1544.36+1437.57+1450.76</f>
        <v>4432.6899999999996</v>
      </c>
      <c r="M135" s="36" t="s">
        <v>596</v>
      </c>
      <c r="N135" s="37" t="s">
        <v>595</v>
      </c>
    </row>
    <row r="136" spans="1:14" s="47" customFormat="1" ht="22.5">
      <c r="A136" s="63" t="s">
        <v>597</v>
      </c>
      <c r="B136" s="51">
        <v>42865</v>
      </c>
      <c r="C136" s="63" t="s">
        <v>598</v>
      </c>
      <c r="D136" s="37" t="s">
        <v>36</v>
      </c>
      <c r="E136" s="37" t="str">
        <f t="shared" si="5"/>
        <v>Affidamento in economia - affidamento diretto</v>
      </c>
      <c r="F136" s="37"/>
      <c r="G136" s="37" t="s">
        <v>599</v>
      </c>
      <c r="H136" s="53" t="s">
        <v>600</v>
      </c>
      <c r="I136" s="139">
        <v>2970</v>
      </c>
      <c r="J136" s="49">
        <v>42736</v>
      </c>
      <c r="K136" s="49">
        <v>43100</v>
      </c>
      <c r="L136" s="36">
        <f>3623.4/1.22</f>
        <v>2970</v>
      </c>
      <c r="M136" s="36" t="s">
        <v>638</v>
      </c>
      <c r="N136" s="37" t="s">
        <v>629</v>
      </c>
    </row>
    <row r="137" spans="1:14" ht="22.5">
      <c r="A137" s="57" t="s">
        <v>631</v>
      </c>
      <c r="B137" s="51">
        <v>42866</v>
      </c>
      <c r="C137" s="57" t="s">
        <v>632</v>
      </c>
      <c r="D137" s="14" t="s">
        <v>14</v>
      </c>
      <c r="E137" s="14" t="s">
        <v>15</v>
      </c>
      <c r="F137" s="14" t="s">
        <v>633</v>
      </c>
      <c r="G137" s="14" t="s">
        <v>634</v>
      </c>
      <c r="H137" s="86" t="s">
        <v>635</v>
      </c>
      <c r="I137" s="105">
        <v>238.93</v>
      </c>
      <c r="J137" s="16">
        <v>42870</v>
      </c>
      <c r="K137" s="16">
        <v>42874</v>
      </c>
      <c r="L137" s="15">
        <f>291.49/1.22</f>
        <v>238.92622950819674</v>
      </c>
      <c r="M137" s="15" t="s">
        <v>698</v>
      </c>
      <c r="N137" s="14" t="s">
        <v>636</v>
      </c>
    </row>
    <row r="138" spans="1:14" ht="22.5">
      <c r="A138" s="92" t="s">
        <v>649</v>
      </c>
      <c r="B138" s="51">
        <v>42870</v>
      </c>
      <c r="C138" s="92" t="s">
        <v>650</v>
      </c>
      <c r="D138" s="14" t="s">
        <v>36</v>
      </c>
      <c r="E138" s="14" t="str">
        <f t="shared" si="5"/>
        <v>Affidamento in economia - affidamento diretto</v>
      </c>
      <c r="F138" s="14"/>
      <c r="G138" s="14" t="s">
        <v>651</v>
      </c>
      <c r="H138" s="135" t="s">
        <v>403</v>
      </c>
      <c r="I138" s="105">
        <v>1396.8</v>
      </c>
      <c r="J138" s="16">
        <v>42867</v>
      </c>
      <c r="K138" s="16">
        <v>42898</v>
      </c>
      <c r="L138" s="15">
        <f>(1469.86/1.22)+234.24/1.22</f>
        <v>1396.8032786885246</v>
      </c>
      <c r="M138" s="15" t="s">
        <v>699</v>
      </c>
      <c r="N138" s="14" t="s">
        <v>652</v>
      </c>
    </row>
    <row r="139" spans="1:14" ht="22.5">
      <c r="A139" s="25" t="s">
        <v>639</v>
      </c>
      <c r="B139" s="24">
        <v>42872</v>
      </c>
      <c r="C139" s="25" t="s">
        <v>640</v>
      </c>
      <c r="D139" s="14" t="str">
        <f>$D$117</f>
        <v>Lavori</v>
      </c>
      <c r="E139" s="14" t="str">
        <f t="shared" si="5"/>
        <v>Affidamento in economia - affidamento diretto</v>
      </c>
      <c r="F139" s="14"/>
      <c r="G139" s="25" t="s">
        <v>641</v>
      </c>
      <c r="H139" s="27" t="s">
        <v>642</v>
      </c>
      <c r="I139" s="105">
        <v>1900</v>
      </c>
      <c r="J139" s="16">
        <v>42882</v>
      </c>
      <c r="K139" s="16">
        <v>42882</v>
      </c>
      <c r="L139" s="15">
        <f>2318/1.22</f>
        <v>1900</v>
      </c>
      <c r="M139" s="15" t="s">
        <v>676</v>
      </c>
      <c r="N139" s="14" t="s">
        <v>643</v>
      </c>
    </row>
    <row r="140" spans="1:14" ht="22.5">
      <c r="A140" s="87" t="s">
        <v>646</v>
      </c>
      <c r="B140" s="24">
        <v>42878</v>
      </c>
      <c r="C140" s="87" t="s">
        <v>647</v>
      </c>
      <c r="D140" s="14" t="s">
        <v>36</v>
      </c>
      <c r="E140" s="14" t="str">
        <f t="shared" si="5"/>
        <v>Affidamento in economia - affidamento diretto</v>
      </c>
      <c r="F140" s="14"/>
      <c r="G140" s="14" t="s">
        <v>277</v>
      </c>
      <c r="H140" s="23">
        <v>10209790152</v>
      </c>
      <c r="I140" s="105">
        <v>340</v>
      </c>
      <c r="J140" s="16">
        <v>42877</v>
      </c>
      <c r="K140" s="16">
        <v>42877</v>
      </c>
      <c r="L140" s="15">
        <v>340.9</v>
      </c>
      <c r="M140" s="15" t="s">
        <v>670</v>
      </c>
      <c r="N140" s="14" t="s">
        <v>648</v>
      </c>
    </row>
    <row r="141" spans="1:14" s="47" customFormat="1" ht="33.75">
      <c r="A141" s="32" t="s">
        <v>655</v>
      </c>
      <c r="B141" s="51">
        <v>42878</v>
      </c>
      <c r="C141" s="32" t="s">
        <v>656</v>
      </c>
      <c r="D141" s="37" t="s">
        <v>36</v>
      </c>
      <c r="E141" s="37" t="str">
        <f t="shared" si="5"/>
        <v>Affidamento in economia - affidamento diretto</v>
      </c>
      <c r="F141" s="37"/>
      <c r="G141" s="37" t="s">
        <v>155</v>
      </c>
      <c r="H141" s="53" t="s">
        <v>68</v>
      </c>
      <c r="I141" s="139">
        <v>6882.24</v>
      </c>
      <c r="J141" s="49">
        <v>42887</v>
      </c>
      <c r="K141" s="49">
        <v>43159</v>
      </c>
      <c r="L141" s="36"/>
      <c r="M141" s="36" t="s">
        <v>1067</v>
      </c>
      <c r="N141" s="37" t="s">
        <v>1044</v>
      </c>
    </row>
    <row r="142" spans="1:14" ht="35.25" customHeight="1">
      <c r="A142" s="63" t="s">
        <v>657</v>
      </c>
      <c r="B142" s="51">
        <v>42879</v>
      </c>
      <c r="C142" s="37" t="s">
        <v>658</v>
      </c>
      <c r="D142" s="37" t="s">
        <v>14</v>
      </c>
      <c r="E142" s="37" t="s">
        <v>15</v>
      </c>
      <c r="F142" s="37"/>
      <c r="G142" s="37" t="s">
        <v>42</v>
      </c>
      <c r="H142" s="137" t="s">
        <v>43</v>
      </c>
      <c r="I142" s="139">
        <v>732.54</v>
      </c>
      <c r="J142" s="49">
        <v>42880</v>
      </c>
      <c r="K142" s="49">
        <v>42887</v>
      </c>
      <c r="L142" s="36">
        <f>893.7/1.22</f>
        <v>732.54098360655746</v>
      </c>
      <c r="M142" s="36" t="s">
        <v>669</v>
      </c>
      <c r="N142" s="37" t="s">
        <v>808</v>
      </c>
    </row>
    <row r="143" spans="1:14" ht="22.5">
      <c r="A143" s="57" t="s">
        <v>659</v>
      </c>
      <c r="B143" s="51">
        <v>42880</v>
      </c>
      <c r="C143" s="57" t="s">
        <v>660</v>
      </c>
      <c r="D143" s="14" t="s">
        <v>36</v>
      </c>
      <c r="E143" s="14" t="str">
        <f t="shared" si="5"/>
        <v>Affidamento in economia - affidamento diretto</v>
      </c>
      <c r="F143" s="14"/>
      <c r="G143" s="14" t="s">
        <v>661</v>
      </c>
      <c r="H143" s="26" t="s">
        <v>662</v>
      </c>
      <c r="I143" s="105">
        <v>1170</v>
      </c>
      <c r="J143" s="16">
        <v>42833</v>
      </c>
      <c r="K143" s="16">
        <v>42916</v>
      </c>
      <c r="L143" s="15">
        <f>549/1.22+(131.76/1.22)</f>
        <v>558</v>
      </c>
      <c r="M143" s="15" t="s">
        <v>700</v>
      </c>
      <c r="N143" s="14" t="s">
        <v>668</v>
      </c>
    </row>
    <row r="144" spans="1:14" ht="22.5">
      <c r="A144" s="57" t="s">
        <v>663</v>
      </c>
      <c r="B144" s="51">
        <v>42880</v>
      </c>
      <c r="C144" s="57" t="s">
        <v>664</v>
      </c>
      <c r="D144" s="14" t="s">
        <v>14</v>
      </c>
      <c r="E144" s="14" t="s">
        <v>15</v>
      </c>
      <c r="F144" s="14" t="s">
        <v>671</v>
      </c>
      <c r="G144" s="14" t="s">
        <v>665</v>
      </c>
      <c r="H144" s="27" t="s">
        <v>666</v>
      </c>
      <c r="I144" s="105">
        <v>426</v>
      </c>
      <c r="J144" s="16">
        <v>42884</v>
      </c>
      <c r="K144" s="16">
        <v>42884</v>
      </c>
      <c r="L144" s="15">
        <f>519.72/1.22</f>
        <v>426.00000000000006</v>
      </c>
      <c r="M144" s="15" t="s">
        <v>675</v>
      </c>
      <c r="N144" s="14" t="s">
        <v>667</v>
      </c>
    </row>
    <row r="145" spans="1:14" ht="22.5">
      <c r="A145" s="57" t="s">
        <v>672</v>
      </c>
      <c r="B145" s="51">
        <v>42881</v>
      </c>
      <c r="C145" s="25" t="s">
        <v>673</v>
      </c>
      <c r="D145" s="37" t="s">
        <v>14</v>
      </c>
      <c r="E145" s="37" t="s">
        <v>15</v>
      </c>
      <c r="F145" s="14"/>
      <c r="G145" s="14" t="s">
        <v>84</v>
      </c>
      <c r="H145" s="27" t="s">
        <v>85</v>
      </c>
      <c r="I145" s="105">
        <v>880</v>
      </c>
      <c r="J145" s="16">
        <v>42891</v>
      </c>
      <c r="K145" s="16">
        <v>42891</v>
      </c>
      <c r="L145" s="15">
        <f>1073.6/1.22</f>
        <v>880</v>
      </c>
      <c r="M145" s="15" t="s">
        <v>701</v>
      </c>
      <c r="N145" s="14" t="s">
        <v>674</v>
      </c>
    </row>
    <row r="146" spans="1:14" ht="22.5">
      <c r="A146" s="57" t="s">
        <v>678</v>
      </c>
      <c r="B146" s="24">
        <v>42884</v>
      </c>
      <c r="C146" s="57" t="s">
        <v>679</v>
      </c>
      <c r="D146" s="14" t="str">
        <f>$D$117</f>
        <v>Lavori</v>
      </c>
      <c r="E146" s="14" t="str">
        <f t="shared" ref="E146:E149" si="6">$E$105</f>
        <v>Affidamento in economia - affidamento diretto</v>
      </c>
      <c r="F146" s="14"/>
      <c r="G146" s="14" t="s">
        <v>102</v>
      </c>
      <c r="H146" s="27" t="s">
        <v>103</v>
      </c>
      <c r="I146" s="105">
        <v>1300</v>
      </c>
      <c r="J146" s="16">
        <v>42698</v>
      </c>
      <c r="K146" s="16">
        <v>42755</v>
      </c>
      <c r="L146" s="15">
        <v>1300</v>
      </c>
      <c r="M146" s="15" t="s">
        <v>702</v>
      </c>
      <c r="N146" s="14" t="s">
        <v>948</v>
      </c>
    </row>
    <row r="147" spans="1:14" ht="22.5">
      <c r="A147" s="57" t="s">
        <v>680</v>
      </c>
      <c r="B147" s="24">
        <v>42885</v>
      </c>
      <c r="C147" s="57" t="s">
        <v>681</v>
      </c>
      <c r="D147" s="14" t="str">
        <f>$D$117</f>
        <v>Lavori</v>
      </c>
      <c r="E147" s="14" t="str">
        <f t="shared" si="6"/>
        <v>Affidamento in economia - affidamento diretto</v>
      </c>
      <c r="F147" s="14"/>
      <c r="G147" s="14" t="s">
        <v>682</v>
      </c>
      <c r="H147" s="27" t="s">
        <v>683</v>
      </c>
      <c r="I147" s="105">
        <v>800</v>
      </c>
      <c r="J147" s="16">
        <v>42886</v>
      </c>
      <c r="K147" s="16">
        <v>42887</v>
      </c>
      <c r="L147" s="15"/>
      <c r="M147" s="15" t="s">
        <v>703</v>
      </c>
      <c r="N147" s="14" t="s">
        <v>949</v>
      </c>
    </row>
    <row r="148" spans="1:14" ht="22.5">
      <c r="A148" s="57" t="s">
        <v>684</v>
      </c>
      <c r="B148" s="24">
        <v>42885</v>
      </c>
      <c r="C148" s="57" t="s">
        <v>685</v>
      </c>
      <c r="D148" s="14" t="s">
        <v>14</v>
      </c>
      <c r="E148" s="14" t="s">
        <v>15</v>
      </c>
      <c r="F148" s="14"/>
      <c r="G148" s="14" t="s">
        <v>380</v>
      </c>
      <c r="H148" s="26" t="s">
        <v>381</v>
      </c>
      <c r="I148" s="105">
        <v>495</v>
      </c>
      <c r="J148" s="16">
        <v>42886</v>
      </c>
      <c r="K148" s="16">
        <v>42905</v>
      </c>
      <c r="L148" s="15">
        <v>495</v>
      </c>
      <c r="M148" s="15" t="s">
        <v>704</v>
      </c>
      <c r="N148" s="14" t="s">
        <v>947</v>
      </c>
    </row>
    <row r="149" spans="1:14" ht="33.75">
      <c r="A149" s="25" t="s">
        <v>686</v>
      </c>
      <c r="B149" s="24">
        <v>42886</v>
      </c>
      <c r="C149" s="25" t="s">
        <v>687</v>
      </c>
      <c r="D149" s="14" t="str">
        <f>$D$117</f>
        <v>Lavori</v>
      </c>
      <c r="E149" s="14" t="str">
        <f t="shared" si="6"/>
        <v>Affidamento in economia - affidamento diretto</v>
      </c>
      <c r="F149" s="14"/>
      <c r="G149" s="14" t="s">
        <v>682</v>
      </c>
      <c r="H149" s="27" t="s">
        <v>683</v>
      </c>
      <c r="I149" s="105">
        <v>9916</v>
      </c>
      <c r="J149" s="16">
        <v>42891</v>
      </c>
      <c r="K149" s="16">
        <v>42911</v>
      </c>
      <c r="L149" s="15"/>
      <c r="M149" s="15" t="s">
        <v>705</v>
      </c>
      <c r="N149" s="14" t="s">
        <v>893</v>
      </c>
    </row>
    <row r="150" spans="1:14" ht="22.5">
      <c r="A150" s="25" t="s">
        <v>689</v>
      </c>
      <c r="B150" s="24">
        <v>42891</v>
      </c>
      <c r="C150" s="25" t="s">
        <v>690</v>
      </c>
      <c r="D150" s="14" t="s">
        <v>36</v>
      </c>
      <c r="E150" s="14" t="str">
        <f t="shared" ref="E150" si="7">$E$105</f>
        <v>Affidamento in economia - affidamento diretto</v>
      </c>
      <c r="F150" s="14"/>
      <c r="G150" s="14" t="s">
        <v>691</v>
      </c>
      <c r="H150" s="31" t="s">
        <v>47</v>
      </c>
      <c r="I150" s="105">
        <v>300</v>
      </c>
      <c r="J150" s="16">
        <v>42893</v>
      </c>
      <c r="K150" s="16">
        <v>42906</v>
      </c>
      <c r="L150" s="15"/>
      <c r="M150" s="15" t="s">
        <v>809</v>
      </c>
      <c r="N150" s="14" t="s">
        <v>692</v>
      </c>
    </row>
    <row r="151" spans="1:14" ht="22.5">
      <c r="A151" s="57" t="s">
        <v>706</v>
      </c>
      <c r="B151" s="24">
        <v>42892</v>
      </c>
      <c r="C151" s="57" t="s">
        <v>707</v>
      </c>
      <c r="D151" s="37" t="s">
        <v>14</v>
      </c>
      <c r="E151" s="37" t="s">
        <v>15</v>
      </c>
      <c r="F151" s="14"/>
      <c r="G151" s="14" t="s">
        <v>651</v>
      </c>
      <c r="H151" s="27" t="s">
        <v>403</v>
      </c>
      <c r="I151" s="105">
        <v>1034</v>
      </c>
      <c r="J151" s="16">
        <v>42887</v>
      </c>
      <c r="K151" s="16">
        <v>42897</v>
      </c>
      <c r="L151" s="15">
        <f>1261.85/1.22</f>
        <v>1034.3032786885246</v>
      </c>
      <c r="M151" s="20" t="s">
        <v>810</v>
      </c>
      <c r="N151" s="14" t="s">
        <v>708</v>
      </c>
    </row>
    <row r="152" spans="1:14" ht="22.5">
      <c r="A152" s="57" t="s">
        <v>709</v>
      </c>
      <c r="B152" s="24">
        <v>42893</v>
      </c>
      <c r="C152" s="57" t="s">
        <v>710</v>
      </c>
      <c r="D152" s="37" t="s">
        <v>14</v>
      </c>
      <c r="E152" s="37" t="s">
        <v>15</v>
      </c>
      <c r="F152" s="14"/>
      <c r="G152" s="14" t="s">
        <v>711</v>
      </c>
      <c r="H152" s="26" t="s">
        <v>843</v>
      </c>
      <c r="I152" s="105">
        <v>24.59</v>
      </c>
      <c r="J152" s="16">
        <v>42892</v>
      </c>
      <c r="K152" s="16">
        <v>42916</v>
      </c>
      <c r="L152" s="15"/>
      <c r="M152" s="15" t="s">
        <v>818</v>
      </c>
      <c r="N152" s="14" t="s">
        <v>712</v>
      </c>
    </row>
    <row r="153" spans="1:14" ht="22.5">
      <c r="A153" s="138" t="s">
        <v>713</v>
      </c>
      <c r="B153" s="95">
        <v>42898</v>
      </c>
      <c r="C153" s="96" t="s">
        <v>714</v>
      </c>
      <c r="D153" s="96" t="s">
        <v>36</v>
      </c>
      <c r="E153" s="96" t="str">
        <f t="shared" ref="E153:E158" si="8">$E$105</f>
        <v>Affidamento in economia - affidamento diretto</v>
      </c>
      <c r="F153" s="96"/>
      <c r="G153" s="96" t="s">
        <v>715</v>
      </c>
      <c r="H153" s="110" t="s">
        <v>716</v>
      </c>
      <c r="I153" s="128">
        <v>200</v>
      </c>
      <c r="J153" s="100">
        <v>42882</v>
      </c>
      <c r="K153" s="100">
        <v>42884</v>
      </c>
      <c r="L153" s="99">
        <f>244/1.22</f>
        <v>200</v>
      </c>
      <c r="M153" s="99" t="s">
        <v>811</v>
      </c>
      <c r="N153" s="96" t="s">
        <v>717</v>
      </c>
    </row>
    <row r="154" spans="1:14" s="14" customFormat="1" ht="22.5">
      <c r="A154" s="57" t="s">
        <v>723</v>
      </c>
      <c r="B154" s="24">
        <v>42898</v>
      </c>
      <c r="C154" s="57" t="s">
        <v>724</v>
      </c>
      <c r="D154" s="14" t="str">
        <f>$D$117</f>
        <v>Lavori</v>
      </c>
      <c r="E154" s="14" t="str">
        <f t="shared" si="8"/>
        <v>Affidamento in economia - affidamento diretto</v>
      </c>
      <c r="G154" s="25" t="s">
        <v>528</v>
      </c>
      <c r="H154" s="27" t="s">
        <v>807</v>
      </c>
      <c r="I154" s="105">
        <v>10369.299999999999</v>
      </c>
      <c r="J154" s="16">
        <v>42901</v>
      </c>
      <c r="K154" s="16">
        <v>42922</v>
      </c>
      <c r="L154" s="15">
        <v>10369.299999999999</v>
      </c>
      <c r="M154" s="15" t="s">
        <v>817</v>
      </c>
      <c r="N154" s="14" t="s">
        <v>725</v>
      </c>
    </row>
    <row r="155" spans="1:14" s="14" customFormat="1" ht="22.5">
      <c r="A155" s="57" t="s">
        <v>718</v>
      </c>
      <c r="B155" s="24">
        <v>42899</v>
      </c>
      <c r="C155" s="57" t="s">
        <v>719</v>
      </c>
      <c r="D155" s="14" t="s">
        <v>36</v>
      </c>
      <c r="E155" s="14" t="str">
        <f t="shared" si="8"/>
        <v>Affidamento in economia - affidamento diretto</v>
      </c>
      <c r="G155" s="14" t="s">
        <v>720</v>
      </c>
      <c r="H155" s="27" t="s">
        <v>721</v>
      </c>
      <c r="I155" s="140">
        <v>396.54</v>
      </c>
      <c r="J155" s="16">
        <v>42900</v>
      </c>
      <c r="K155" s="16">
        <v>42916</v>
      </c>
      <c r="L155" s="15">
        <v>396.54</v>
      </c>
      <c r="M155" s="15" t="s">
        <v>816</v>
      </c>
      <c r="N155" s="14" t="s">
        <v>722</v>
      </c>
    </row>
    <row r="156" spans="1:14" s="47" customFormat="1" ht="22.5" customHeight="1">
      <c r="A156" s="63" t="s">
        <v>726</v>
      </c>
      <c r="B156" s="51">
        <v>42899</v>
      </c>
      <c r="C156" s="63" t="s">
        <v>727</v>
      </c>
      <c r="D156" s="37" t="s">
        <v>36</v>
      </c>
      <c r="E156" s="37" t="str">
        <f t="shared" si="8"/>
        <v>Affidamento in economia - affidamento diretto</v>
      </c>
      <c r="F156" s="37"/>
      <c r="G156" s="37" t="s">
        <v>144</v>
      </c>
      <c r="H156" s="53" t="s">
        <v>145</v>
      </c>
      <c r="I156" s="152">
        <v>10000</v>
      </c>
      <c r="J156" s="49">
        <v>42880</v>
      </c>
      <c r="K156" s="49">
        <v>43245</v>
      </c>
      <c r="L156" s="36">
        <f>610+(2049.6/1.22)</f>
        <v>2290</v>
      </c>
      <c r="M156" s="36" t="s">
        <v>815</v>
      </c>
      <c r="N156" s="37" t="s">
        <v>814</v>
      </c>
    </row>
    <row r="157" spans="1:14" ht="22.5" customHeight="1">
      <c r="A157" s="57" t="s">
        <v>728</v>
      </c>
      <c r="B157" s="24">
        <v>42899</v>
      </c>
      <c r="C157" s="57" t="s">
        <v>729</v>
      </c>
      <c r="D157" s="37" t="s">
        <v>14</v>
      </c>
      <c r="E157" s="14" t="s">
        <v>573</v>
      </c>
      <c r="F157" s="14"/>
      <c r="G157" s="14" t="s">
        <v>395</v>
      </c>
      <c r="H157" s="31" t="s">
        <v>396</v>
      </c>
      <c r="I157" s="105">
        <v>300</v>
      </c>
      <c r="J157" s="16">
        <v>42905</v>
      </c>
      <c r="K157" s="16">
        <v>43100</v>
      </c>
      <c r="L157" s="15"/>
      <c r="M157" s="15" t="s">
        <v>819</v>
      </c>
      <c r="N157" s="14" t="s">
        <v>730</v>
      </c>
    </row>
    <row r="158" spans="1:14" ht="22.5">
      <c r="A158" s="57" t="s">
        <v>731</v>
      </c>
      <c r="B158" s="24">
        <v>42900</v>
      </c>
      <c r="C158" s="57" t="s">
        <v>732</v>
      </c>
      <c r="D158" s="14" t="s">
        <v>36</v>
      </c>
      <c r="E158" s="14" t="str">
        <f t="shared" si="8"/>
        <v>Affidamento in economia - affidamento diretto</v>
      </c>
      <c r="F158" s="14"/>
      <c r="G158" s="14" t="s">
        <v>37</v>
      </c>
      <c r="H158" s="26" t="s">
        <v>38</v>
      </c>
      <c r="I158" s="105">
        <v>1089</v>
      </c>
      <c r="J158" s="16">
        <v>42826</v>
      </c>
      <c r="K158" s="16">
        <v>42855</v>
      </c>
      <c r="L158" s="15">
        <f>1328.58/1.22</f>
        <v>1089</v>
      </c>
      <c r="M158" s="15" t="s">
        <v>820</v>
      </c>
      <c r="N158" s="14" t="s">
        <v>733</v>
      </c>
    </row>
    <row r="159" spans="1:14" ht="22.5">
      <c r="A159" s="57" t="s">
        <v>734</v>
      </c>
      <c r="B159" s="24">
        <v>42901</v>
      </c>
      <c r="C159" s="57" t="s">
        <v>735</v>
      </c>
      <c r="D159" s="37" t="s">
        <v>14</v>
      </c>
      <c r="E159" s="37" t="s">
        <v>15</v>
      </c>
      <c r="F159" s="14"/>
      <c r="G159" s="14" t="s">
        <v>388</v>
      </c>
      <c r="H159" s="26" t="s">
        <v>389</v>
      </c>
      <c r="I159" s="105">
        <v>50.7</v>
      </c>
      <c r="J159" s="16">
        <v>42905</v>
      </c>
      <c r="K159" s="16">
        <v>42907</v>
      </c>
      <c r="L159" s="15">
        <v>50.7</v>
      </c>
      <c r="M159" s="15" t="s">
        <v>821</v>
      </c>
      <c r="N159" s="14" t="s">
        <v>736</v>
      </c>
    </row>
    <row r="160" spans="1:14" ht="22.5">
      <c r="A160" s="57" t="s">
        <v>737</v>
      </c>
      <c r="B160" s="24">
        <v>42901</v>
      </c>
      <c r="C160" s="57" t="s">
        <v>738</v>
      </c>
      <c r="D160" s="14" t="str">
        <f>$D$117</f>
        <v>Lavori</v>
      </c>
      <c r="E160" s="14" t="str">
        <f t="shared" ref="E160" si="9">$E$105</f>
        <v>Affidamento in economia - affidamento diretto</v>
      </c>
      <c r="F160" s="14"/>
      <c r="G160" s="14" t="s">
        <v>102</v>
      </c>
      <c r="H160" s="27" t="s">
        <v>103</v>
      </c>
      <c r="I160" s="105">
        <v>600</v>
      </c>
      <c r="J160" s="16">
        <v>42888</v>
      </c>
      <c r="K160" s="16">
        <v>42899</v>
      </c>
      <c r="L160" s="15"/>
      <c r="M160" s="15" t="s">
        <v>822</v>
      </c>
      <c r="N160" s="14" t="s">
        <v>739</v>
      </c>
    </row>
    <row r="161" spans="1:14" s="47" customFormat="1" ht="45">
      <c r="A161" s="63" t="s">
        <v>740</v>
      </c>
      <c r="B161" s="51">
        <v>42901</v>
      </c>
      <c r="C161" s="63" t="s">
        <v>741</v>
      </c>
      <c r="D161" s="37" t="s">
        <v>36</v>
      </c>
      <c r="E161" s="37" t="s">
        <v>742</v>
      </c>
      <c r="F161" s="37" t="s">
        <v>898</v>
      </c>
      <c r="G161" s="35" t="s">
        <v>897</v>
      </c>
      <c r="H161" s="35">
        <v>1368250559</v>
      </c>
      <c r="I161" s="139">
        <v>20000</v>
      </c>
      <c r="J161" s="49">
        <v>42948</v>
      </c>
      <c r="K161" s="49">
        <v>44408</v>
      </c>
      <c r="L161" s="36"/>
      <c r="M161" s="36"/>
      <c r="N161" s="37" t="s">
        <v>899</v>
      </c>
    </row>
    <row r="162" spans="1:14" ht="22.5">
      <c r="A162" s="25" t="s">
        <v>743</v>
      </c>
      <c r="B162" s="24">
        <v>42902</v>
      </c>
      <c r="C162" s="32" t="s">
        <v>744</v>
      </c>
      <c r="D162" s="14" t="s">
        <v>36</v>
      </c>
      <c r="E162" s="14" t="str">
        <f t="shared" ref="E162:E166" si="10">$E$105</f>
        <v>Affidamento in economia - affidamento diretto</v>
      </c>
      <c r="F162" s="14"/>
      <c r="G162" s="14" t="str">
        <f>$G$49</f>
        <v>Maggioli S.p.a.</v>
      </c>
      <c r="H162" s="26" t="str">
        <f>$H$51</f>
        <v>002066400405</v>
      </c>
      <c r="I162" s="105">
        <v>800</v>
      </c>
      <c r="J162" s="16">
        <v>42902</v>
      </c>
      <c r="K162" s="16">
        <v>42916</v>
      </c>
      <c r="L162" s="15"/>
      <c r="M162" s="15" t="s">
        <v>812</v>
      </c>
      <c r="N162" s="14" t="s">
        <v>745</v>
      </c>
    </row>
    <row r="163" spans="1:14" ht="22.5">
      <c r="A163" s="25" t="s">
        <v>750</v>
      </c>
      <c r="B163" s="24">
        <v>42906</v>
      </c>
      <c r="C163" s="25" t="s">
        <v>749</v>
      </c>
      <c r="D163" s="14" t="s">
        <v>17</v>
      </c>
      <c r="E163" s="14" t="str">
        <f t="shared" si="10"/>
        <v>Affidamento in economia - affidamento diretto</v>
      </c>
      <c r="F163" s="14"/>
      <c r="G163" s="14" t="s">
        <v>748</v>
      </c>
      <c r="H163" s="26" t="s">
        <v>747</v>
      </c>
      <c r="I163" s="105">
        <v>390</v>
      </c>
      <c r="J163" s="16">
        <v>42909</v>
      </c>
      <c r="K163" s="16">
        <v>42909</v>
      </c>
      <c r="L163" s="15">
        <f>309.65/1.1</f>
        <v>281.49999999999994</v>
      </c>
      <c r="M163" s="15" t="s">
        <v>823</v>
      </c>
      <c r="N163" s="14" t="s">
        <v>746</v>
      </c>
    </row>
    <row r="164" spans="1:14" ht="22.5">
      <c r="A164" s="25" t="s">
        <v>752</v>
      </c>
      <c r="B164" s="24">
        <v>42907</v>
      </c>
      <c r="C164" s="25" t="s">
        <v>753</v>
      </c>
      <c r="D164" s="14" t="s">
        <v>17</v>
      </c>
      <c r="E164" s="14" t="str">
        <f t="shared" si="10"/>
        <v>Affidamento in economia - affidamento diretto</v>
      </c>
      <c r="F164" s="14"/>
      <c r="G164" s="14" t="s">
        <v>295</v>
      </c>
      <c r="H164" s="26" t="s">
        <v>754</v>
      </c>
      <c r="I164" s="105">
        <v>2070</v>
      </c>
      <c r="J164" s="16">
        <v>42909</v>
      </c>
      <c r="K164" s="16">
        <v>42916</v>
      </c>
      <c r="L164" s="15">
        <f>2525.4/1.22</f>
        <v>2070</v>
      </c>
      <c r="M164" s="15" t="s">
        <v>824</v>
      </c>
      <c r="N164" s="14" t="s">
        <v>751</v>
      </c>
    </row>
    <row r="165" spans="1:14" ht="22.5">
      <c r="A165" s="57" t="s">
        <v>755</v>
      </c>
      <c r="B165" s="24">
        <v>42912</v>
      </c>
      <c r="C165" s="57" t="s">
        <v>756</v>
      </c>
      <c r="D165" s="14" t="s">
        <v>17</v>
      </c>
      <c r="E165" s="14" t="str">
        <f t="shared" si="10"/>
        <v>Affidamento in economia - affidamento diretto</v>
      </c>
      <c r="F165" s="14" t="s">
        <v>759</v>
      </c>
      <c r="G165" s="25" t="s">
        <v>528</v>
      </c>
      <c r="H165" s="27" t="s">
        <v>807</v>
      </c>
      <c r="I165" s="105">
        <v>450</v>
      </c>
      <c r="J165" s="16">
        <v>42914</v>
      </c>
      <c r="K165" s="16">
        <v>42945</v>
      </c>
      <c r="L165" s="15"/>
      <c r="M165" s="15" t="s">
        <v>813</v>
      </c>
      <c r="N165" s="14" t="s">
        <v>757</v>
      </c>
    </row>
    <row r="166" spans="1:14" ht="33.75">
      <c r="A166" s="141" t="s">
        <v>806</v>
      </c>
      <c r="B166" s="51">
        <v>42912</v>
      </c>
      <c r="C166" s="63" t="s">
        <v>841</v>
      </c>
      <c r="D166" s="37" t="s">
        <v>36</v>
      </c>
      <c r="E166" s="37" t="str">
        <f t="shared" si="10"/>
        <v>Affidamento in economia - affidamento diretto</v>
      </c>
      <c r="F166" s="37"/>
      <c r="G166" s="37" t="s">
        <v>168</v>
      </c>
      <c r="H166" s="53" t="s">
        <v>169</v>
      </c>
      <c r="I166" s="139">
        <v>2180</v>
      </c>
      <c r="J166" s="49">
        <v>42875</v>
      </c>
      <c r="K166" s="49">
        <v>42946</v>
      </c>
      <c r="L166" s="36"/>
      <c r="M166" s="36" t="s">
        <v>907</v>
      </c>
      <c r="N166" s="37" t="s">
        <v>840</v>
      </c>
    </row>
    <row r="167" spans="1:14" ht="22.5">
      <c r="A167" s="57" t="s">
        <v>833</v>
      </c>
      <c r="B167" s="51">
        <v>42912</v>
      </c>
      <c r="C167" s="57" t="s">
        <v>834</v>
      </c>
      <c r="D167" s="37" t="s">
        <v>14</v>
      </c>
      <c r="E167" s="37" t="s">
        <v>15</v>
      </c>
      <c r="F167" s="14"/>
      <c r="G167" s="14" t="s">
        <v>251</v>
      </c>
      <c r="H167" s="26" t="s">
        <v>252</v>
      </c>
      <c r="I167" s="105">
        <v>130</v>
      </c>
      <c r="J167" s="16">
        <v>42914</v>
      </c>
      <c r="K167" s="16">
        <v>42914</v>
      </c>
      <c r="L167" s="15">
        <v>130</v>
      </c>
      <c r="M167" s="15" t="s">
        <v>914</v>
      </c>
      <c r="N167" s="14" t="s">
        <v>839</v>
      </c>
    </row>
    <row r="168" spans="1:14" ht="22.5">
      <c r="A168" s="57" t="s">
        <v>835</v>
      </c>
      <c r="B168" s="51">
        <v>42913</v>
      </c>
      <c r="C168" s="57" t="s">
        <v>836</v>
      </c>
      <c r="D168" s="37" t="s">
        <v>14</v>
      </c>
      <c r="E168" s="37" t="s">
        <v>15</v>
      </c>
      <c r="F168" s="14"/>
      <c r="G168" s="14" t="s">
        <v>837</v>
      </c>
      <c r="H168" s="26" t="s">
        <v>842</v>
      </c>
      <c r="I168" s="105">
        <v>5437.8</v>
      </c>
      <c r="J168" s="16">
        <v>42946</v>
      </c>
      <c r="K168" s="16">
        <v>42946</v>
      </c>
      <c r="L168" s="15"/>
      <c r="M168" s="15" t="s">
        <v>915</v>
      </c>
      <c r="N168" s="14" t="s">
        <v>838</v>
      </c>
    </row>
    <row r="169" spans="1:14" ht="22.5">
      <c r="A169" s="57" t="s">
        <v>844</v>
      </c>
      <c r="B169" s="51">
        <v>42913</v>
      </c>
      <c r="C169" s="57" t="s">
        <v>845</v>
      </c>
      <c r="D169" s="14" t="s">
        <v>17</v>
      </c>
      <c r="E169" s="14" t="s">
        <v>742</v>
      </c>
      <c r="F169" s="14" t="s">
        <v>846</v>
      </c>
      <c r="G169" s="14" t="s">
        <v>715</v>
      </c>
      <c r="H169" s="26" t="s">
        <v>716</v>
      </c>
      <c r="I169" s="105">
        <v>4600</v>
      </c>
      <c r="J169" s="16">
        <v>42917</v>
      </c>
      <c r="K169" s="16">
        <v>42946</v>
      </c>
      <c r="L169" s="15"/>
      <c r="M169" s="15" t="s">
        <v>916</v>
      </c>
      <c r="N169" s="14" t="s">
        <v>847</v>
      </c>
    </row>
    <row r="170" spans="1:14" ht="27" customHeight="1">
      <c r="A170" s="57" t="s">
        <v>848</v>
      </c>
      <c r="B170" s="51">
        <v>42914</v>
      </c>
      <c r="C170" s="57" t="s">
        <v>849</v>
      </c>
      <c r="D170" s="37" t="s">
        <v>36</v>
      </c>
      <c r="E170" s="37" t="str">
        <f t="shared" ref="E170:E175" si="11">$E$105</f>
        <v>Affidamento in economia - affidamento diretto</v>
      </c>
      <c r="F170" s="14"/>
      <c r="G170" s="14" t="s">
        <v>850</v>
      </c>
      <c r="H170" s="26" t="s">
        <v>232</v>
      </c>
      <c r="I170" s="105">
        <v>65</v>
      </c>
      <c r="J170" s="16">
        <v>42872</v>
      </c>
      <c r="K170" s="16">
        <v>42872</v>
      </c>
      <c r="L170" s="15">
        <v>65</v>
      </c>
      <c r="M170" s="15" t="s">
        <v>918</v>
      </c>
      <c r="N170" s="14" t="s">
        <v>851</v>
      </c>
    </row>
    <row r="171" spans="1:14" s="47" customFormat="1" ht="22.5">
      <c r="A171" s="63" t="s">
        <v>852</v>
      </c>
      <c r="B171" s="51">
        <v>42915</v>
      </c>
      <c r="C171" s="63" t="s">
        <v>853</v>
      </c>
      <c r="D171" s="37" t="s">
        <v>36</v>
      </c>
      <c r="E171" s="37" t="str">
        <f t="shared" si="11"/>
        <v>Affidamento in economia - affidamento diretto</v>
      </c>
      <c r="F171" s="37"/>
      <c r="G171" s="37" t="s">
        <v>189</v>
      </c>
      <c r="H171" s="53" t="s">
        <v>59</v>
      </c>
      <c r="I171" s="139">
        <v>5000</v>
      </c>
      <c r="J171" s="49">
        <v>42736</v>
      </c>
      <c r="K171" s="49">
        <v>43100</v>
      </c>
      <c r="L171" s="36"/>
      <c r="M171" s="36" t="s">
        <v>908</v>
      </c>
      <c r="N171" s="37" t="s">
        <v>854</v>
      </c>
    </row>
    <row r="172" spans="1:14" ht="27" customHeight="1">
      <c r="A172" s="57" t="s">
        <v>855</v>
      </c>
      <c r="B172" s="51">
        <v>42915</v>
      </c>
      <c r="C172" s="57" t="s">
        <v>856</v>
      </c>
      <c r="D172" s="37" t="s">
        <v>36</v>
      </c>
      <c r="E172" s="37" t="str">
        <f t="shared" si="11"/>
        <v>Affidamento in economia - affidamento diretto</v>
      </c>
      <c r="F172" s="14"/>
      <c r="G172" s="14" t="s">
        <v>71</v>
      </c>
      <c r="H172" s="27" t="s">
        <v>72</v>
      </c>
      <c r="I172" s="105">
        <v>150</v>
      </c>
      <c r="J172" s="16">
        <v>42906</v>
      </c>
      <c r="K172" s="16">
        <v>42906</v>
      </c>
      <c r="L172" s="15">
        <v>150</v>
      </c>
      <c r="M172" s="15" t="s">
        <v>909</v>
      </c>
      <c r="N172" s="14" t="s">
        <v>857</v>
      </c>
    </row>
    <row r="173" spans="1:14" s="47" customFormat="1" ht="33.75">
      <c r="A173" s="63" t="s">
        <v>858</v>
      </c>
      <c r="B173" s="51">
        <v>42920</v>
      </c>
      <c r="C173" s="63" t="s">
        <v>861</v>
      </c>
      <c r="D173" s="37" t="s">
        <v>36</v>
      </c>
      <c r="E173" s="37" t="s">
        <v>15</v>
      </c>
      <c r="F173" s="37"/>
      <c r="G173" s="37" t="s">
        <v>859</v>
      </c>
      <c r="H173" s="137" t="s">
        <v>860</v>
      </c>
      <c r="I173" s="151">
        <v>12800</v>
      </c>
      <c r="J173" s="49">
        <v>42856</v>
      </c>
      <c r="K173" s="49">
        <v>42967</v>
      </c>
      <c r="L173" s="81">
        <v>2780.88</v>
      </c>
      <c r="M173" s="36" t="s">
        <v>911</v>
      </c>
      <c r="N173" s="37" t="s">
        <v>862</v>
      </c>
    </row>
    <row r="174" spans="1:14" ht="22.5">
      <c r="A174" s="63" t="s">
        <v>863</v>
      </c>
      <c r="B174" s="51">
        <v>42921</v>
      </c>
      <c r="C174" s="63" t="s">
        <v>864</v>
      </c>
      <c r="D174" s="37" t="s">
        <v>36</v>
      </c>
      <c r="E174" s="37" t="str">
        <f t="shared" si="11"/>
        <v>Affidamento in economia - affidamento diretto</v>
      </c>
      <c r="F174" s="37"/>
      <c r="G174" s="37" t="s">
        <v>865</v>
      </c>
      <c r="H174" s="53" t="s">
        <v>866</v>
      </c>
      <c r="I174" s="139">
        <v>220</v>
      </c>
      <c r="J174" s="49">
        <v>42893</v>
      </c>
      <c r="K174" s="49">
        <v>42895</v>
      </c>
      <c r="L174" s="36">
        <f>268.4/1.22</f>
        <v>220</v>
      </c>
      <c r="M174" s="36" t="s">
        <v>910</v>
      </c>
      <c r="N174" s="37" t="s">
        <v>867</v>
      </c>
    </row>
    <row r="175" spans="1:14" ht="22.5">
      <c r="A175" s="57" t="s">
        <v>868</v>
      </c>
      <c r="B175" s="51">
        <v>42921</v>
      </c>
      <c r="C175" s="57" t="s">
        <v>869</v>
      </c>
      <c r="D175" s="37" t="s">
        <v>36</v>
      </c>
      <c r="E175" s="37" t="str">
        <f t="shared" si="11"/>
        <v>Affidamento in economia - affidamento diretto</v>
      </c>
      <c r="F175" s="14"/>
      <c r="G175" s="37" t="s">
        <v>264</v>
      </c>
      <c r="H175" s="53" t="s">
        <v>131</v>
      </c>
      <c r="I175" s="105">
        <v>5000</v>
      </c>
      <c r="J175" s="16">
        <v>42887</v>
      </c>
      <c r="K175" s="16">
        <v>44196</v>
      </c>
      <c r="L175" s="15"/>
      <c r="M175" s="36" t="s">
        <v>332</v>
      </c>
      <c r="N175" s="14" t="s">
        <v>870</v>
      </c>
    </row>
    <row r="176" spans="1:14" s="47" customFormat="1" ht="22.5">
      <c r="A176" s="63" t="s">
        <v>871</v>
      </c>
      <c r="B176" s="51">
        <v>42922</v>
      </c>
      <c r="C176" s="37" t="s">
        <v>872</v>
      </c>
      <c r="D176" s="37" t="s">
        <v>36</v>
      </c>
      <c r="E176" s="37" t="s">
        <v>573</v>
      </c>
      <c r="F176" s="37"/>
      <c r="G176" s="37" t="s">
        <v>395</v>
      </c>
      <c r="H176" s="53" t="s">
        <v>873</v>
      </c>
      <c r="I176" s="139">
        <v>4800</v>
      </c>
      <c r="J176" s="49">
        <v>42823</v>
      </c>
      <c r="K176" s="49">
        <v>43069</v>
      </c>
      <c r="L176" s="36">
        <v>648.61</v>
      </c>
      <c r="M176" s="36" t="s">
        <v>912</v>
      </c>
      <c r="N176" s="37" t="s">
        <v>874</v>
      </c>
    </row>
    <row r="177" spans="1:14" ht="18.75" customHeight="1">
      <c r="A177" s="57" t="s">
        <v>875</v>
      </c>
      <c r="B177" s="51">
        <v>42923</v>
      </c>
      <c r="C177" s="57" t="s">
        <v>876</v>
      </c>
      <c r="D177" s="37" t="s">
        <v>14</v>
      </c>
      <c r="E177" s="37" t="s">
        <v>15</v>
      </c>
      <c r="F177" s="14" t="s">
        <v>878</v>
      </c>
      <c r="G177" s="14" t="s">
        <v>91</v>
      </c>
      <c r="H177" s="27" t="s">
        <v>92</v>
      </c>
      <c r="I177" s="105">
        <v>1278</v>
      </c>
      <c r="J177" s="16">
        <v>42923</v>
      </c>
      <c r="K177" s="16">
        <v>42954</v>
      </c>
      <c r="L177" s="15"/>
      <c r="M177" s="15" t="s">
        <v>919</v>
      </c>
      <c r="N177" s="14" t="s">
        <v>877</v>
      </c>
    </row>
    <row r="178" spans="1:14" ht="17.25" customHeight="1">
      <c r="A178" s="25" t="s">
        <v>879</v>
      </c>
      <c r="B178" s="51">
        <v>42923</v>
      </c>
      <c r="C178" s="25" t="s">
        <v>880</v>
      </c>
      <c r="D178" s="37" t="s">
        <v>14</v>
      </c>
      <c r="E178" s="37" t="s">
        <v>15</v>
      </c>
      <c r="F178" s="14" t="s">
        <v>881</v>
      </c>
      <c r="G178" s="14" t="s">
        <v>882</v>
      </c>
      <c r="H178" s="26" t="s">
        <v>883</v>
      </c>
      <c r="I178" s="105">
        <v>215</v>
      </c>
      <c r="J178" s="16">
        <v>42923</v>
      </c>
      <c r="K178" s="16">
        <v>42954</v>
      </c>
      <c r="L178" s="15"/>
      <c r="M178" s="15" t="s">
        <v>920</v>
      </c>
      <c r="N178" s="14" t="s">
        <v>884</v>
      </c>
    </row>
    <row r="179" spans="1:14" ht="22.5">
      <c r="A179" s="25" t="s">
        <v>894</v>
      </c>
      <c r="B179" s="51">
        <v>42928</v>
      </c>
      <c r="C179" s="25" t="s">
        <v>895</v>
      </c>
      <c r="D179" s="37" t="s">
        <v>14</v>
      </c>
      <c r="E179" s="37" t="s">
        <v>15</v>
      </c>
      <c r="F179" s="14"/>
      <c r="G179" s="14" t="s">
        <v>251</v>
      </c>
      <c r="H179" s="26" t="s">
        <v>252</v>
      </c>
      <c r="I179" s="105">
        <v>185</v>
      </c>
      <c r="J179" s="16">
        <v>42928</v>
      </c>
      <c r="K179" s="16">
        <v>42930</v>
      </c>
      <c r="L179" s="15"/>
      <c r="M179" s="15" t="s">
        <v>913</v>
      </c>
      <c r="N179" s="14" t="s">
        <v>892</v>
      </c>
    </row>
    <row r="180" spans="1:14" ht="22.5">
      <c r="A180" s="57" t="s">
        <v>885</v>
      </c>
      <c r="B180" s="24">
        <v>42928</v>
      </c>
      <c r="C180" s="57" t="s">
        <v>886</v>
      </c>
      <c r="D180" s="37" t="s">
        <v>36</v>
      </c>
      <c r="E180" s="37" t="str">
        <f t="shared" ref="E180:E183" si="12">$E$105</f>
        <v>Affidamento in economia - affidamento diretto</v>
      </c>
      <c r="F180" s="14"/>
      <c r="G180" s="14" t="s">
        <v>231</v>
      </c>
      <c r="H180" s="26" t="s">
        <v>232</v>
      </c>
      <c r="I180" s="105">
        <v>241</v>
      </c>
      <c r="J180" s="16">
        <v>42914</v>
      </c>
      <c r="K180" s="16">
        <v>42934</v>
      </c>
      <c r="L180" s="15">
        <f>122/1.22</f>
        <v>100</v>
      </c>
      <c r="M180" s="15" t="s">
        <v>917</v>
      </c>
      <c r="N180" s="14" t="s">
        <v>891</v>
      </c>
    </row>
    <row r="181" spans="1:14" ht="33.75">
      <c r="A181" s="57" t="s">
        <v>887</v>
      </c>
      <c r="B181" s="24">
        <v>42928</v>
      </c>
      <c r="C181" s="57" t="s">
        <v>888</v>
      </c>
      <c r="D181" s="14" t="s">
        <v>17</v>
      </c>
      <c r="E181" s="14" t="str">
        <f t="shared" si="12"/>
        <v>Affidamento in economia - affidamento diretto</v>
      </c>
      <c r="F181" s="14"/>
      <c r="G181" s="14" t="s">
        <v>102</v>
      </c>
      <c r="H181" s="27" t="s">
        <v>103</v>
      </c>
      <c r="I181" s="105">
        <v>1900</v>
      </c>
      <c r="J181" s="16">
        <v>42928</v>
      </c>
      <c r="K181" s="16">
        <v>42930</v>
      </c>
      <c r="L181" s="15"/>
      <c r="M181" s="15" t="s">
        <v>921</v>
      </c>
      <c r="N181" s="14" t="s">
        <v>953</v>
      </c>
    </row>
    <row r="182" spans="1:14" ht="22.5">
      <c r="A182" s="87" t="s">
        <v>889</v>
      </c>
      <c r="B182" s="24">
        <v>42928</v>
      </c>
      <c r="C182" s="57" t="s">
        <v>896</v>
      </c>
      <c r="D182" s="14" t="s">
        <v>17</v>
      </c>
      <c r="E182" s="14" t="str">
        <f t="shared" si="12"/>
        <v>Affidamento in economia - affidamento diretto</v>
      </c>
      <c r="F182" s="14"/>
      <c r="G182" s="14" t="s">
        <v>300</v>
      </c>
      <c r="H182" s="27" t="s">
        <v>301</v>
      </c>
      <c r="I182" s="105">
        <v>11200</v>
      </c>
      <c r="J182" s="16">
        <v>42936</v>
      </c>
      <c r="K182" s="16">
        <v>42947</v>
      </c>
      <c r="L182" s="14"/>
      <c r="M182" s="15" t="s">
        <v>922</v>
      </c>
      <c r="N182" s="14" t="s">
        <v>890</v>
      </c>
    </row>
    <row r="183" spans="1:14" ht="22.5">
      <c r="A183" s="87" t="s">
        <v>928</v>
      </c>
      <c r="B183" s="24">
        <v>42934</v>
      </c>
      <c r="C183" s="57" t="s">
        <v>927</v>
      </c>
      <c r="D183" s="37" t="s">
        <v>36</v>
      </c>
      <c r="E183" s="37" t="str">
        <f t="shared" si="12"/>
        <v>Affidamento in economia - affidamento diretto</v>
      </c>
      <c r="F183" s="14"/>
      <c r="G183" s="14" t="s">
        <v>91</v>
      </c>
      <c r="H183" s="27" t="s">
        <v>92</v>
      </c>
      <c r="I183" s="105">
        <v>582</v>
      </c>
      <c r="J183" s="16">
        <v>42934</v>
      </c>
      <c r="K183" s="16">
        <v>42975</v>
      </c>
      <c r="L183" s="14"/>
      <c r="M183" s="15" t="s">
        <v>930</v>
      </c>
      <c r="N183" s="14" t="s">
        <v>929</v>
      </c>
    </row>
    <row r="184" spans="1:14" ht="33.75">
      <c r="A184" s="57" t="s">
        <v>900</v>
      </c>
      <c r="B184" s="24">
        <v>42934</v>
      </c>
      <c r="C184" s="57" t="s">
        <v>982</v>
      </c>
      <c r="D184" s="37" t="s">
        <v>14</v>
      </c>
      <c r="E184" s="37" t="s">
        <v>15</v>
      </c>
      <c r="F184" s="14" t="s">
        <v>903</v>
      </c>
      <c r="G184" s="14" t="s">
        <v>902</v>
      </c>
      <c r="H184" s="26" t="s">
        <v>901</v>
      </c>
      <c r="I184" s="105">
        <v>3665</v>
      </c>
      <c r="J184" s="16">
        <v>42944</v>
      </c>
      <c r="K184" s="16">
        <v>43308</v>
      </c>
      <c r="L184" s="15"/>
      <c r="M184" s="15" t="s">
        <v>943</v>
      </c>
      <c r="N184" s="14" t="s">
        <v>956</v>
      </c>
    </row>
    <row r="185" spans="1:14" ht="22.5">
      <c r="A185" s="65" t="s">
        <v>904</v>
      </c>
      <c r="B185" s="24">
        <v>42935</v>
      </c>
      <c r="C185" s="57" t="s">
        <v>905</v>
      </c>
      <c r="D185" s="37" t="s">
        <v>14</v>
      </c>
      <c r="E185" s="37" t="s">
        <v>15</v>
      </c>
      <c r="F185" s="14"/>
      <c r="G185" s="14" t="s">
        <v>651</v>
      </c>
      <c r="H185" s="27" t="s">
        <v>403</v>
      </c>
      <c r="I185" s="105">
        <v>230</v>
      </c>
      <c r="J185" s="16">
        <v>42935</v>
      </c>
      <c r="K185" s="16">
        <v>42945</v>
      </c>
      <c r="L185" s="15"/>
      <c r="M185" s="15" t="s">
        <v>944</v>
      </c>
      <c r="N185" s="14" t="s">
        <v>906</v>
      </c>
    </row>
    <row r="186" spans="1:14" ht="22.5">
      <c r="A186" s="57" t="s">
        <v>923</v>
      </c>
      <c r="B186" s="24">
        <v>42935</v>
      </c>
      <c r="C186" s="65" t="s">
        <v>924</v>
      </c>
      <c r="D186" s="37" t="s">
        <v>14</v>
      </c>
      <c r="E186" s="37" t="s">
        <v>15</v>
      </c>
      <c r="F186" s="14"/>
      <c r="G186" s="14" t="s">
        <v>926</v>
      </c>
      <c r="H186" s="27" t="s">
        <v>68</v>
      </c>
      <c r="I186" s="105">
        <v>4800</v>
      </c>
      <c r="J186" s="16">
        <v>42931</v>
      </c>
      <c r="K186" s="16">
        <v>43038</v>
      </c>
      <c r="L186" s="15"/>
      <c r="M186" s="15" t="s">
        <v>945</v>
      </c>
      <c r="N186" s="14" t="s">
        <v>925</v>
      </c>
    </row>
    <row r="187" spans="1:14" ht="33.75">
      <c r="A187" s="57" t="s">
        <v>931</v>
      </c>
      <c r="B187" s="24">
        <v>42937</v>
      </c>
      <c r="C187" s="87" t="s">
        <v>932</v>
      </c>
      <c r="D187" s="37" t="s">
        <v>36</v>
      </c>
      <c r="E187" s="37" t="str">
        <f t="shared" ref="E187" si="13">$E$105</f>
        <v>Affidamento in economia - affidamento diretto</v>
      </c>
      <c r="F187" s="14" t="s">
        <v>934</v>
      </c>
      <c r="G187" s="14" t="s">
        <v>281</v>
      </c>
      <c r="H187" s="26" t="s">
        <v>282</v>
      </c>
      <c r="I187" s="105">
        <v>487.07</v>
      </c>
      <c r="J187" s="16">
        <v>42937</v>
      </c>
      <c r="K187" s="16">
        <v>43302</v>
      </c>
      <c r="L187" s="15">
        <v>487.07</v>
      </c>
      <c r="M187" s="15" t="s">
        <v>955</v>
      </c>
      <c r="N187" s="14" t="s">
        <v>933</v>
      </c>
    </row>
    <row r="188" spans="1:14" ht="22.5">
      <c r="A188" s="25" t="s">
        <v>935</v>
      </c>
      <c r="B188" s="24">
        <v>42937</v>
      </c>
      <c r="C188" s="25" t="s">
        <v>936</v>
      </c>
      <c r="D188" s="37" t="s">
        <v>14</v>
      </c>
      <c r="E188" s="37" t="s">
        <v>15</v>
      </c>
      <c r="F188" s="14"/>
      <c r="G188" s="14" t="s">
        <v>937</v>
      </c>
      <c r="H188" s="26" t="s">
        <v>938</v>
      </c>
      <c r="I188" s="105">
        <v>693.67</v>
      </c>
      <c r="J188" s="16">
        <v>42940</v>
      </c>
      <c r="K188" s="16">
        <v>42940</v>
      </c>
      <c r="L188" s="15">
        <f>846.28/1.22</f>
        <v>693.67213114754099</v>
      </c>
      <c r="M188" s="15" t="s">
        <v>946</v>
      </c>
      <c r="N188" s="14" t="s">
        <v>939</v>
      </c>
    </row>
    <row r="189" spans="1:14" ht="22.5">
      <c r="A189" s="25" t="s">
        <v>940</v>
      </c>
      <c r="B189" s="24">
        <v>42937</v>
      </c>
      <c r="C189" s="25" t="s">
        <v>941</v>
      </c>
      <c r="D189" s="37" t="s">
        <v>14</v>
      </c>
      <c r="E189" s="37" t="s">
        <v>15</v>
      </c>
      <c r="F189" s="14"/>
      <c r="G189" s="14" t="s">
        <v>189</v>
      </c>
      <c r="H189" s="27" t="s">
        <v>59</v>
      </c>
      <c r="I189" s="105">
        <v>2384.64</v>
      </c>
      <c r="J189" s="16">
        <v>42940</v>
      </c>
      <c r="K189" s="16">
        <v>44035</v>
      </c>
      <c r="L189" s="15"/>
      <c r="M189" s="15" t="s">
        <v>954</v>
      </c>
      <c r="N189" s="14" t="s">
        <v>942</v>
      </c>
    </row>
    <row r="190" spans="1:14" ht="22.5">
      <c r="A190" s="57" t="s">
        <v>950</v>
      </c>
      <c r="B190" s="24">
        <v>42937</v>
      </c>
      <c r="C190" s="57" t="s">
        <v>951</v>
      </c>
      <c r="D190" s="14" t="s">
        <v>17</v>
      </c>
      <c r="E190" s="14" t="str">
        <f t="shared" ref="E190" si="14">$E$105</f>
        <v>Affidamento in economia - affidamento diretto</v>
      </c>
      <c r="F190" s="14"/>
      <c r="G190" s="14" t="s">
        <v>691</v>
      </c>
      <c r="H190" s="31" t="s">
        <v>47</v>
      </c>
      <c r="I190" s="105">
        <v>1385</v>
      </c>
      <c r="J190" s="16">
        <v>42941</v>
      </c>
      <c r="K190" s="16">
        <v>42947</v>
      </c>
      <c r="L190" s="15"/>
      <c r="M190" s="15"/>
      <c r="N190" s="14" t="s">
        <v>952</v>
      </c>
    </row>
    <row r="191" spans="1:14" ht="33.75">
      <c r="A191" s="57" t="s">
        <v>957</v>
      </c>
      <c r="B191" s="24">
        <v>42944</v>
      </c>
      <c r="C191" s="14" t="s">
        <v>958</v>
      </c>
      <c r="D191" s="37" t="s">
        <v>14</v>
      </c>
      <c r="E191" s="37" t="s">
        <v>15</v>
      </c>
      <c r="F191" s="14"/>
      <c r="G191" s="14" t="s">
        <v>959</v>
      </c>
      <c r="H191" s="142" t="s">
        <v>960</v>
      </c>
      <c r="I191" s="105">
        <v>288</v>
      </c>
      <c r="J191" s="16">
        <v>42947</v>
      </c>
      <c r="K191" s="16">
        <v>42975</v>
      </c>
      <c r="L191" s="15"/>
      <c r="M191" s="15" t="s">
        <v>962</v>
      </c>
      <c r="N191" s="14" t="s">
        <v>961</v>
      </c>
    </row>
    <row r="192" spans="1:14" s="47" customFormat="1" ht="33.75">
      <c r="A192" s="63" t="s">
        <v>963</v>
      </c>
      <c r="B192" s="51">
        <v>42947</v>
      </c>
      <c r="C192" s="32" t="s">
        <v>964</v>
      </c>
      <c r="D192" s="37" t="s">
        <v>36</v>
      </c>
      <c r="E192" s="37" t="str">
        <f t="shared" ref="E192:E193" si="15">$E$105</f>
        <v>Affidamento in economia - affidamento diretto</v>
      </c>
      <c r="F192" s="37"/>
      <c r="G192" s="37" t="s">
        <v>311</v>
      </c>
      <c r="H192" s="53">
        <v>1208470557</v>
      </c>
      <c r="I192" s="36">
        <v>10125</v>
      </c>
      <c r="J192" s="49">
        <v>42826</v>
      </c>
      <c r="K192" s="49">
        <v>42978</v>
      </c>
      <c r="L192" s="36">
        <f>(5049.52/1.22)+(2423.53/1.22)</f>
        <v>6125.4508196721317</v>
      </c>
      <c r="M192" s="36" t="s">
        <v>972</v>
      </c>
      <c r="N192" s="37" t="s">
        <v>973</v>
      </c>
    </row>
    <row r="193" spans="1:14" s="47" customFormat="1" ht="22.5">
      <c r="A193" s="141" t="s">
        <v>965</v>
      </c>
      <c r="B193" s="51">
        <v>42947</v>
      </c>
      <c r="C193" s="63" t="s">
        <v>966</v>
      </c>
      <c r="D193" s="37" t="s">
        <v>36</v>
      </c>
      <c r="E193" s="37" t="str">
        <f t="shared" si="15"/>
        <v>Affidamento in economia - affidamento diretto</v>
      </c>
      <c r="F193" s="37"/>
      <c r="G193" s="37" t="s">
        <v>967</v>
      </c>
      <c r="H193" s="53" t="s">
        <v>968</v>
      </c>
      <c r="I193" s="36">
        <v>483</v>
      </c>
      <c r="J193" s="49">
        <v>42583</v>
      </c>
      <c r="K193" s="49">
        <v>43100</v>
      </c>
      <c r="L193" s="36">
        <f>32+(46.36/1.22)</f>
        <v>70</v>
      </c>
      <c r="M193" s="36" t="s">
        <v>975</v>
      </c>
      <c r="N193" s="37" t="s">
        <v>974</v>
      </c>
    </row>
    <row r="194" spans="1:14" ht="22.5">
      <c r="A194" s="57" t="s">
        <v>969</v>
      </c>
      <c r="B194" s="24">
        <v>42948</v>
      </c>
      <c r="C194" s="57" t="s">
        <v>970</v>
      </c>
      <c r="D194" s="37" t="s">
        <v>14</v>
      </c>
      <c r="E194" s="37" t="s">
        <v>15</v>
      </c>
      <c r="F194" s="14"/>
      <c r="G194" s="14" t="s">
        <v>651</v>
      </c>
      <c r="H194" s="27" t="s">
        <v>403</v>
      </c>
      <c r="I194" s="15">
        <v>1317.5</v>
      </c>
      <c r="J194" s="16">
        <v>42968</v>
      </c>
      <c r="K194" s="16">
        <v>42983</v>
      </c>
      <c r="L194" s="15"/>
      <c r="M194" s="15" t="s">
        <v>1046</v>
      </c>
      <c r="N194" s="14" t="s">
        <v>971</v>
      </c>
    </row>
    <row r="195" spans="1:14" ht="22.5">
      <c r="A195" s="57" t="s">
        <v>976</v>
      </c>
      <c r="B195" s="24">
        <v>42949</v>
      </c>
      <c r="C195" s="57" t="s">
        <v>977</v>
      </c>
      <c r="D195" s="37" t="s">
        <v>36</v>
      </c>
      <c r="E195" s="37" t="str">
        <f t="shared" ref="E195:E198" si="16">$E$105</f>
        <v>Affidamento in economia - affidamento diretto</v>
      </c>
      <c r="F195" s="14"/>
      <c r="G195" s="14" t="s">
        <v>168</v>
      </c>
      <c r="H195" s="26" t="s">
        <v>169</v>
      </c>
      <c r="I195" s="15">
        <v>164.4</v>
      </c>
      <c r="J195" s="16">
        <v>42944</v>
      </c>
      <c r="K195" s="16">
        <v>42945</v>
      </c>
      <c r="L195" s="15"/>
      <c r="M195" s="15" t="s">
        <v>1047</v>
      </c>
      <c r="N195" s="14" t="s">
        <v>978</v>
      </c>
    </row>
    <row r="196" spans="1:14" ht="22.5">
      <c r="A196" s="25" t="s">
        <v>979</v>
      </c>
      <c r="B196" s="24">
        <v>42949</v>
      </c>
      <c r="C196" s="25" t="s">
        <v>980</v>
      </c>
      <c r="D196" s="37" t="s">
        <v>36</v>
      </c>
      <c r="E196" s="37" t="str">
        <f t="shared" si="16"/>
        <v>Affidamento in economia - affidamento diretto</v>
      </c>
      <c r="F196" s="14"/>
      <c r="G196" s="14" t="s">
        <v>277</v>
      </c>
      <c r="H196" s="23">
        <v>10209790152</v>
      </c>
      <c r="I196" s="15">
        <v>1100</v>
      </c>
      <c r="J196" s="16">
        <v>42949</v>
      </c>
      <c r="K196" s="16">
        <v>42949</v>
      </c>
      <c r="L196" s="15"/>
      <c r="M196" s="15" t="s">
        <v>1048</v>
      </c>
      <c r="N196" s="14" t="s">
        <v>981</v>
      </c>
    </row>
    <row r="197" spans="1:14" ht="22.5">
      <c r="A197" s="57" t="s">
        <v>984</v>
      </c>
      <c r="B197" s="24">
        <v>42951</v>
      </c>
      <c r="C197" s="143" t="s">
        <v>985</v>
      </c>
      <c r="D197" s="37" t="s">
        <v>14</v>
      </c>
      <c r="E197" s="37" t="s">
        <v>15</v>
      </c>
      <c r="F197" s="14"/>
      <c r="G197" s="25" t="s">
        <v>986</v>
      </c>
      <c r="H197" s="57">
        <v>2033401007</v>
      </c>
      <c r="I197" s="15">
        <v>292</v>
      </c>
      <c r="J197" s="16">
        <v>42950</v>
      </c>
      <c r="K197" s="16">
        <v>42954</v>
      </c>
      <c r="L197" s="15">
        <f>356.5/1.22</f>
        <v>292.21311475409834</v>
      </c>
      <c r="M197" s="15" t="s">
        <v>1050</v>
      </c>
      <c r="N197" s="14" t="s">
        <v>989</v>
      </c>
    </row>
    <row r="198" spans="1:14" ht="22.5">
      <c r="A198" s="57" t="s">
        <v>987</v>
      </c>
      <c r="B198" s="24">
        <v>42968</v>
      </c>
      <c r="C198" s="57" t="s">
        <v>988</v>
      </c>
      <c r="D198" s="37" t="s">
        <v>36</v>
      </c>
      <c r="E198" s="37" t="str">
        <f t="shared" si="16"/>
        <v>Affidamento in economia - affidamento diretto</v>
      </c>
      <c r="F198" s="14"/>
      <c r="G198" s="14" t="s">
        <v>201</v>
      </c>
      <c r="H198" s="26" t="s">
        <v>202</v>
      </c>
      <c r="I198" s="15">
        <v>156</v>
      </c>
      <c r="J198" s="16">
        <v>42960</v>
      </c>
      <c r="K198" s="16">
        <v>42962</v>
      </c>
      <c r="L198" s="15"/>
      <c r="M198" s="15" t="s">
        <v>1051</v>
      </c>
      <c r="N198" s="14" t="s">
        <v>990</v>
      </c>
    </row>
    <row r="199" spans="1:14" ht="33.75">
      <c r="A199" s="57" t="s">
        <v>992</v>
      </c>
      <c r="B199" s="24">
        <v>42968</v>
      </c>
      <c r="C199" s="57" t="s">
        <v>993</v>
      </c>
      <c r="D199" s="14" t="s">
        <v>14</v>
      </c>
      <c r="E199" s="14" t="s">
        <v>742</v>
      </c>
      <c r="F199" s="14" t="s">
        <v>994</v>
      </c>
      <c r="G199" s="14" t="s">
        <v>995</v>
      </c>
      <c r="H199" s="26" t="s">
        <v>996</v>
      </c>
      <c r="I199" s="15">
        <v>17046</v>
      </c>
      <c r="J199" s="16">
        <v>42969</v>
      </c>
      <c r="K199" s="16">
        <v>44430</v>
      </c>
      <c r="L199" s="15"/>
      <c r="M199" s="15" t="s">
        <v>1053</v>
      </c>
      <c r="N199" s="14" t="s">
        <v>997</v>
      </c>
    </row>
    <row r="200" spans="1:14" ht="22.5">
      <c r="A200" s="57" t="s">
        <v>998</v>
      </c>
      <c r="B200" s="24">
        <v>42968</v>
      </c>
      <c r="C200" s="65" t="s">
        <v>999</v>
      </c>
      <c r="D200" s="37" t="s">
        <v>14</v>
      </c>
      <c r="E200" s="37" t="s">
        <v>15</v>
      </c>
      <c r="F200" s="14"/>
      <c r="G200" s="14" t="s">
        <v>1000</v>
      </c>
      <c r="H200" s="27" t="s">
        <v>1001</v>
      </c>
      <c r="I200" s="15">
        <v>1150</v>
      </c>
      <c r="J200" s="16">
        <v>43010</v>
      </c>
      <c r="K200" s="16">
        <v>43021</v>
      </c>
      <c r="L200" s="15"/>
      <c r="M200" s="15" t="s">
        <v>1054</v>
      </c>
      <c r="N200" s="14" t="s">
        <v>1066</v>
      </c>
    </row>
    <row r="201" spans="1:14" ht="22.5">
      <c r="A201" s="25" t="s">
        <v>1002</v>
      </c>
      <c r="B201" s="24">
        <v>42975</v>
      </c>
      <c r="C201" s="25" t="s">
        <v>1003</v>
      </c>
      <c r="D201" s="37" t="s">
        <v>36</v>
      </c>
      <c r="E201" s="37" t="str">
        <f t="shared" ref="E201:E202" si="17">$E$105</f>
        <v>Affidamento in economia - affidamento diretto</v>
      </c>
      <c r="F201" s="14"/>
      <c r="G201" s="14" t="s">
        <v>1004</v>
      </c>
      <c r="H201" s="26" t="s">
        <v>1005</v>
      </c>
      <c r="I201" s="15">
        <v>5300</v>
      </c>
      <c r="J201" s="16">
        <v>42969</v>
      </c>
      <c r="K201" s="16">
        <v>42982</v>
      </c>
      <c r="L201" s="15"/>
      <c r="M201" s="15" t="s">
        <v>1055</v>
      </c>
      <c r="N201" s="14" t="s">
        <v>1006</v>
      </c>
    </row>
    <row r="202" spans="1:14" ht="22.5">
      <c r="A202" s="25" t="s">
        <v>1007</v>
      </c>
      <c r="B202" s="24">
        <v>42975</v>
      </c>
      <c r="C202" s="25" t="s">
        <v>1008</v>
      </c>
      <c r="D202" s="37" t="s">
        <v>36</v>
      </c>
      <c r="E202" s="37" t="str">
        <f t="shared" si="17"/>
        <v>Affidamento in economia - affidamento diretto</v>
      </c>
      <c r="F202" s="14"/>
      <c r="G202" s="14" t="s">
        <v>562</v>
      </c>
      <c r="H202" s="26" t="s">
        <v>563</v>
      </c>
      <c r="I202" s="15">
        <v>360</v>
      </c>
      <c r="J202" s="16">
        <v>42994</v>
      </c>
      <c r="K202" s="16">
        <v>42995</v>
      </c>
      <c r="L202" s="15"/>
      <c r="M202" s="15" t="s">
        <v>1056</v>
      </c>
      <c r="N202" s="14" t="s">
        <v>1009</v>
      </c>
    </row>
    <row r="203" spans="1:14" ht="22.5">
      <c r="A203" s="57" t="s">
        <v>1010</v>
      </c>
      <c r="B203" s="24">
        <v>42975</v>
      </c>
      <c r="C203" s="57" t="s">
        <v>1011</v>
      </c>
      <c r="D203" s="37" t="s">
        <v>14</v>
      </c>
      <c r="E203" s="37" t="s">
        <v>15</v>
      </c>
      <c r="F203" s="14"/>
      <c r="G203" s="14" t="s">
        <v>937</v>
      </c>
      <c r="H203" s="26" t="s">
        <v>938</v>
      </c>
      <c r="I203" s="15">
        <v>693.67</v>
      </c>
      <c r="J203" s="16">
        <v>42982</v>
      </c>
      <c r="K203" s="16">
        <v>42982</v>
      </c>
      <c r="L203" s="15"/>
      <c r="M203" s="15" t="s">
        <v>1057</v>
      </c>
      <c r="N203" s="14" t="s">
        <v>1012</v>
      </c>
    </row>
    <row r="204" spans="1:14" ht="33.75">
      <c r="A204" s="65" t="s">
        <v>1013</v>
      </c>
      <c r="B204" s="24">
        <v>42975</v>
      </c>
      <c r="C204" s="65" t="s">
        <v>1014</v>
      </c>
      <c r="D204" s="37" t="s">
        <v>14</v>
      </c>
      <c r="E204" s="37" t="s">
        <v>15</v>
      </c>
      <c r="F204" s="37" t="s">
        <v>1045</v>
      </c>
      <c r="G204" s="14" t="s">
        <v>251</v>
      </c>
      <c r="H204" s="26" t="s">
        <v>252</v>
      </c>
      <c r="I204" s="15">
        <v>473.75</v>
      </c>
      <c r="J204" s="16">
        <v>42975</v>
      </c>
      <c r="K204" s="16">
        <v>42986</v>
      </c>
      <c r="L204" s="15"/>
      <c r="M204" s="15" t="s">
        <v>1058</v>
      </c>
      <c r="N204" s="14" t="s">
        <v>1019</v>
      </c>
    </row>
    <row r="205" spans="1:14" ht="33.75">
      <c r="A205" s="57" t="s">
        <v>1015</v>
      </c>
      <c r="B205" s="24">
        <v>42976</v>
      </c>
      <c r="C205" s="57" t="s">
        <v>1016</v>
      </c>
      <c r="D205" s="37" t="s">
        <v>36</v>
      </c>
      <c r="E205" s="37" t="str">
        <f t="shared" ref="E205:E207" si="18">$E$105</f>
        <v>Affidamento in economia - affidamento diretto</v>
      </c>
      <c r="F205" s="14"/>
      <c r="G205" s="14" t="s">
        <v>1017</v>
      </c>
      <c r="H205" s="26" t="s">
        <v>1018</v>
      </c>
      <c r="I205" s="15">
        <v>7900</v>
      </c>
      <c r="J205" s="16">
        <v>42982</v>
      </c>
      <c r="K205" s="16">
        <v>43008</v>
      </c>
      <c r="L205" s="15"/>
      <c r="M205" s="15" t="s">
        <v>1059</v>
      </c>
      <c r="N205" s="14" t="s">
        <v>1039</v>
      </c>
    </row>
    <row r="206" spans="1:14" ht="22.5">
      <c r="A206" s="57" t="s">
        <v>1020</v>
      </c>
      <c r="B206" s="24">
        <v>42976</v>
      </c>
      <c r="C206" s="57" t="s">
        <v>1021</v>
      </c>
      <c r="D206" s="37" t="s">
        <v>14</v>
      </c>
      <c r="E206" s="37" t="s">
        <v>15</v>
      </c>
      <c r="F206" s="14"/>
      <c r="G206" s="14" t="s">
        <v>1022</v>
      </c>
      <c r="H206" s="26" t="s">
        <v>1023</v>
      </c>
      <c r="I206" s="15">
        <v>135</v>
      </c>
      <c r="J206" s="16">
        <v>42975</v>
      </c>
      <c r="K206" s="16">
        <v>43008</v>
      </c>
      <c r="L206" s="15"/>
      <c r="M206" s="15" t="s">
        <v>1060</v>
      </c>
      <c r="N206" s="14" t="s">
        <v>1024</v>
      </c>
    </row>
    <row r="207" spans="1:14" ht="22.5">
      <c r="A207" s="57" t="s">
        <v>1025</v>
      </c>
      <c r="B207" s="24">
        <v>42976</v>
      </c>
      <c r="C207" s="57" t="s">
        <v>1026</v>
      </c>
      <c r="D207" s="37" t="s">
        <v>36</v>
      </c>
      <c r="E207" s="37" t="str">
        <f t="shared" si="18"/>
        <v>Affidamento in economia - affidamento diretto</v>
      </c>
      <c r="F207" s="14"/>
      <c r="G207" s="14" t="s">
        <v>231</v>
      </c>
      <c r="H207" s="26" t="s">
        <v>232</v>
      </c>
      <c r="I207" s="15">
        <v>355</v>
      </c>
      <c r="J207" s="16">
        <v>42958</v>
      </c>
      <c r="K207" s="16">
        <v>42958</v>
      </c>
      <c r="L207" s="15"/>
      <c r="M207" s="15" t="s">
        <v>1061</v>
      </c>
      <c r="N207" s="14" t="s">
        <v>1027</v>
      </c>
    </row>
    <row r="208" spans="1:14" ht="33.75">
      <c r="A208" s="57" t="s">
        <v>1028</v>
      </c>
      <c r="B208" s="24">
        <v>42976</v>
      </c>
      <c r="C208" s="57" t="s">
        <v>1029</v>
      </c>
      <c r="D208" s="37" t="s">
        <v>14</v>
      </c>
      <c r="E208" s="37" t="s">
        <v>15</v>
      </c>
      <c r="F208" s="14"/>
      <c r="G208" s="14" t="s">
        <v>84</v>
      </c>
      <c r="H208" s="27" t="s">
        <v>85</v>
      </c>
      <c r="I208" s="15">
        <v>1618.52</v>
      </c>
      <c r="J208" s="16">
        <v>42942</v>
      </c>
      <c r="K208" s="16">
        <v>42990</v>
      </c>
      <c r="L208" s="15"/>
      <c r="M208" s="15" t="s">
        <v>1062</v>
      </c>
      <c r="N208" s="14" t="s">
        <v>1030</v>
      </c>
    </row>
    <row r="209" spans="1:14" ht="56.25">
      <c r="A209" s="57" t="s">
        <v>1031</v>
      </c>
      <c r="B209" s="24">
        <v>42977</v>
      </c>
      <c r="C209" s="65" t="s">
        <v>1032</v>
      </c>
      <c r="D209" s="37" t="s">
        <v>14</v>
      </c>
      <c r="E209" s="37" t="s">
        <v>15</v>
      </c>
      <c r="F209" s="14" t="s">
        <v>1068</v>
      </c>
      <c r="G209" s="14" t="s">
        <v>1034</v>
      </c>
      <c r="H209" s="31" t="s">
        <v>1033</v>
      </c>
      <c r="I209" s="15">
        <v>225.41</v>
      </c>
      <c r="J209" s="16">
        <v>42976</v>
      </c>
      <c r="K209" s="16">
        <v>42986</v>
      </c>
      <c r="L209" s="15"/>
      <c r="M209" s="15" t="s">
        <v>1063</v>
      </c>
      <c r="N209" s="14" t="s">
        <v>1035</v>
      </c>
    </row>
    <row r="210" spans="1:14" ht="22.5">
      <c r="A210" s="57" t="s">
        <v>1036</v>
      </c>
      <c r="B210" s="24">
        <v>42977</v>
      </c>
      <c r="C210" s="14" t="s">
        <v>1037</v>
      </c>
      <c r="D210" s="37" t="s">
        <v>36</v>
      </c>
      <c r="E210" s="37" t="str">
        <f t="shared" ref="E210" si="19">$E$105</f>
        <v>Affidamento in economia - affidamento diretto</v>
      </c>
      <c r="F210" s="14"/>
      <c r="G210" s="37" t="s">
        <v>168</v>
      </c>
      <c r="H210" s="53" t="s">
        <v>169</v>
      </c>
      <c r="I210" s="15">
        <v>400</v>
      </c>
      <c r="J210" s="16">
        <v>42977</v>
      </c>
      <c r="K210" s="16">
        <v>42986</v>
      </c>
      <c r="L210" s="15"/>
      <c r="M210" s="15" t="s">
        <v>1064</v>
      </c>
      <c r="N210" s="14" t="s">
        <v>1038</v>
      </c>
    </row>
    <row r="211" spans="1:14" s="47" customFormat="1" ht="22.5">
      <c r="A211" s="63" t="s">
        <v>1042</v>
      </c>
      <c r="B211" s="51">
        <v>42978</v>
      </c>
      <c r="C211" s="141" t="s">
        <v>688</v>
      </c>
      <c r="D211" s="37" t="s">
        <v>14</v>
      </c>
      <c r="E211" s="37" t="s">
        <v>15</v>
      </c>
      <c r="F211" s="37"/>
      <c r="G211" s="37" t="s">
        <v>651</v>
      </c>
      <c r="H211" s="64" t="s">
        <v>403</v>
      </c>
      <c r="I211" s="36">
        <v>400</v>
      </c>
      <c r="J211" s="49">
        <v>42978</v>
      </c>
      <c r="K211" s="49">
        <v>43039</v>
      </c>
      <c r="L211" s="36"/>
      <c r="M211" s="36" t="s">
        <v>1065</v>
      </c>
      <c r="N211" s="37" t="s">
        <v>1043</v>
      </c>
    </row>
    <row r="219" spans="1:14" ht="15">
      <c r="C219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M30" sqref="M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5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44" t="s">
        <v>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45" t="s">
        <v>5</v>
      </c>
      <c r="H2" s="146"/>
      <c r="I2" s="4" t="s">
        <v>6</v>
      </c>
      <c r="J2" s="5" t="s">
        <v>7</v>
      </c>
      <c r="K2" s="5" t="s">
        <v>8</v>
      </c>
      <c r="L2" s="4" t="s">
        <v>451</v>
      </c>
      <c r="M2" s="4" t="s">
        <v>10</v>
      </c>
      <c r="N2" s="4" t="s">
        <v>11</v>
      </c>
      <c r="O2" s="4" t="s">
        <v>25</v>
      </c>
    </row>
    <row r="3" spans="1:15" s="6" customFormat="1">
      <c r="A3" s="103"/>
      <c r="B3" s="8"/>
      <c r="C3" s="8"/>
      <c r="D3" s="8"/>
      <c r="E3" s="8"/>
      <c r="F3" s="8"/>
      <c r="G3" s="9" t="s">
        <v>12</v>
      </c>
      <c r="H3" s="78" t="s">
        <v>13</v>
      </c>
      <c r="I3" s="10"/>
      <c r="J3" s="11"/>
      <c r="K3" s="11"/>
      <c r="L3" s="10"/>
      <c r="M3" s="10"/>
      <c r="N3" s="8"/>
      <c r="O3" s="74"/>
    </row>
    <row r="4" spans="1:15" s="6" customFormat="1">
      <c r="A4" s="104" t="s">
        <v>28</v>
      </c>
      <c r="B4" s="13"/>
      <c r="C4" s="14" t="s">
        <v>436</v>
      </c>
      <c r="D4" s="14" t="s">
        <v>437</v>
      </c>
      <c r="E4" s="14"/>
      <c r="F4" s="14"/>
      <c r="G4" s="32" t="s">
        <v>438</v>
      </c>
      <c r="H4" s="76" t="s">
        <v>124</v>
      </c>
      <c r="I4" s="55">
        <v>24.59</v>
      </c>
      <c r="J4" s="38">
        <v>42775</v>
      </c>
      <c r="K4" s="39">
        <v>42775</v>
      </c>
      <c r="L4" s="55">
        <v>30</v>
      </c>
      <c r="M4" s="33" t="s">
        <v>439</v>
      </c>
      <c r="N4" s="42" t="s">
        <v>440</v>
      </c>
      <c r="O4" s="74"/>
    </row>
    <row r="5" spans="1:15">
      <c r="A5" s="104" t="s">
        <v>28</v>
      </c>
      <c r="B5" s="13"/>
      <c r="C5" s="14" t="s">
        <v>441</v>
      </c>
      <c r="D5" s="14" t="s">
        <v>437</v>
      </c>
      <c r="E5" s="14"/>
      <c r="F5" s="14"/>
      <c r="G5" s="33" t="s">
        <v>442</v>
      </c>
      <c r="H5" s="26" t="s">
        <v>443</v>
      </c>
      <c r="I5" s="123">
        <v>30</v>
      </c>
      <c r="J5" s="38">
        <v>42809</v>
      </c>
      <c r="K5" s="38">
        <v>42809</v>
      </c>
      <c r="L5" s="56">
        <v>36.6</v>
      </c>
      <c r="M5" s="33" t="s">
        <v>444</v>
      </c>
      <c r="N5" s="42" t="s">
        <v>445</v>
      </c>
      <c r="O5" s="14"/>
    </row>
    <row r="6" spans="1:15">
      <c r="A6" s="104" t="s">
        <v>28</v>
      </c>
      <c r="B6" s="13"/>
      <c r="C6" s="1" t="s">
        <v>447</v>
      </c>
      <c r="D6" s="14" t="s">
        <v>437</v>
      </c>
      <c r="E6" s="14"/>
      <c r="F6" s="14"/>
      <c r="G6" s="14" t="s">
        <v>446</v>
      </c>
      <c r="H6" s="76" t="s">
        <v>450</v>
      </c>
      <c r="I6" s="123">
        <v>16.309999999999999</v>
      </c>
      <c r="J6" s="38">
        <v>42817</v>
      </c>
      <c r="K6" s="38">
        <v>42821</v>
      </c>
      <c r="L6" s="125">
        <v>19.899999999999999</v>
      </c>
      <c r="M6" s="33" t="s">
        <v>448</v>
      </c>
      <c r="N6" s="42" t="s">
        <v>449</v>
      </c>
      <c r="O6" s="14"/>
    </row>
    <row r="7" spans="1:15" ht="22.5">
      <c r="A7" s="104" t="s">
        <v>28</v>
      </c>
      <c r="B7" s="18"/>
      <c r="C7" s="12" t="s">
        <v>602</v>
      </c>
      <c r="D7" s="14" t="s">
        <v>437</v>
      </c>
      <c r="E7" s="14"/>
      <c r="F7" s="14"/>
      <c r="G7" s="34" t="s">
        <v>603</v>
      </c>
      <c r="H7" s="135" t="s">
        <v>604</v>
      </c>
      <c r="I7" s="123">
        <v>45.49</v>
      </c>
      <c r="J7" s="38" t="s">
        <v>605</v>
      </c>
      <c r="K7" s="38">
        <v>42863</v>
      </c>
      <c r="L7" s="56">
        <v>45.49</v>
      </c>
      <c r="M7" s="33" t="s">
        <v>606</v>
      </c>
      <c r="N7" s="42" t="s">
        <v>607</v>
      </c>
      <c r="O7" s="14"/>
    </row>
    <row r="8" spans="1:15">
      <c r="A8" s="104" t="s">
        <v>28</v>
      </c>
      <c r="B8" s="17"/>
      <c r="C8" s="14"/>
      <c r="D8" s="14"/>
      <c r="E8" s="14"/>
      <c r="F8" s="14"/>
      <c r="G8" s="14"/>
      <c r="H8" s="26"/>
      <c r="I8" s="123"/>
      <c r="J8" s="40"/>
      <c r="K8" s="40"/>
      <c r="L8" s="56"/>
      <c r="M8" s="35"/>
      <c r="N8" s="43"/>
      <c r="O8" s="14"/>
    </row>
    <row r="9" spans="1:15">
      <c r="A9" s="104" t="s">
        <v>28</v>
      </c>
      <c r="B9" s="18"/>
      <c r="C9" s="12"/>
      <c r="D9" s="14"/>
      <c r="E9" s="14"/>
      <c r="F9" s="14"/>
      <c r="G9" s="14"/>
      <c r="H9" s="77"/>
      <c r="I9" s="123"/>
      <c r="J9" s="40"/>
      <c r="K9" s="41"/>
      <c r="L9" s="56"/>
      <c r="M9" s="36"/>
      <c r="N9" s="44"/>
      <c r="O9" s="14"/>
    </row>
    <row r="10" spans="1:15">
      <c r="A10" s="104" t="s">
        <v>28</v>
      </c>
      <c r="B10" s="18"/>
      <c r="C10" s="14"/>
      <c r="D10" s="14"/>
      <c r="E10" s="14"/>
      <c r="F10" s="14"/>
      <c r="G10" s="37"/>
      <c r="H10" s="26"/>
      <c r="I10" s="123"/>
      <c r="J10" s="40"/>
      <c r="K10" s="41"/>
      <c r="L10" s="56"/>
      <c r="M10" s="36"/>
      <c r="N10" s="44"/>
      <c r="O10" s="14"/>
    </row>
    <row r="11" spans="1:15" s="47" customFormat="1" ht="14.25">
      <c r="A11" s="104" t="s">
        <v>28</v>
      </c>
      <c r="B11" s="54"/>
      <c r="C11" s="37"/>
      <c r="D11" s="37"/>
      <c r="E11" s="37"/>
      <c r="F11" s="37"/>
      <c r="G11" s="37"/>
      <c r="H11" s="53"/>
      <c r="I11" s="124"/>
      <c r="J11" s="122"/>
      <c r="K11" s="122"/>
      <c r="L11" s="122"/>
      <c r="M11" s="122"/>
      <c r="N11" s="122"/>
      <c r="O11" s="37"/>
    </row>
    <row r="12" spans="1:15">
      <c r="A12" s="104" t="s">
        <v>28</v>
      </c>
      <c r="B12" s="19"/>
      <c r="C12" s="14"/>
      <c r="D12" s="14"/>
      <c r="E12" s="14"/>
      <c r="F12" s="14"/>
      <c r="G12" s="14"/>
      <c r="H12" s="77"/>
      <c r="I12" s="123"/>
      <c r="J12" s="39"/>
      <c r="K12" s="39"/>
      <c r="L12" s="56"/>
      <c r="M12" s="15"/>
      <c r="N12" s="42"/>
      <c r="O12" s="14"/>
    </row>
    <row r="13" spans="1:15">
      <c r="A13" s="104" t="s">
        <v>28</v>
      </c>
      <c r="B13" s="13"/>
      <c r="C13" s="14"/>
      <c r="D13" s="14"/>
      <c r="E13" s="14"/>
      <c r="F13" s="14"/>
      <c r="G13" s="14"/>
      <c r="H13" s="86"/>
      <c r="I13" s="123"/>
      <c r="J13" s="39"/>
      <c r="K13" s="39"/>
      <c r="L13" s="56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77"/>
      <c r="I14" s="123"/>
      <c r="J14" s="39"/>
      <c r="K14" s="39"/>
      <c r="L14" s="56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123"/>
      <c r="J15" s="80"/>
      <c r="K15" s="80"/>
      <c r="L15" s="81"/>
      <c r="M15" s="36"/>
      <c r="N15" s="82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123"/>
      <c r="J16" s="80"/>
      <c r="K16" s="80"/>
      <c r="L16" s="81"/>
      <c r="M16" s="36"/>
      <c r="N16" s="82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123"/>
      <c r="J17" s="80"/>
      <c r="K17" s="80"/>
      <c r="L17" s="81"/>
      <c r="M17" s="36"/>
      <c r="N17" s="82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123"/>
      <c r="J18" s="39"/>
      <c r="K18" s="39"/>
      <c r="L18" s="56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123"/>
      <c r="J19" s="39"/>
      <c r="K19" s="39"/>
      <c r="L19" s="56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05"/>
      <c r="J20" s="16"/>
      <c r="K20" s="16"/>
      <c r="L20" s="55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05"/>
      <c r="J21" s="16"/>
      <c r="K21" s="16"/>
      <c r="L21" s="56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76"/>
      <c r="I22" s="105"/>
      <c r="J22" s="16"/>
      <c r="K22" s="16"/>
      <c r="L22" s="56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05"/>
      <c r="J23" s="16"/>
      <c r="K23" s="16"/>
      <c r="L23" s="56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05"/>
      <c r="J24" s="16"/>
      <c r="K24" s="16"/>
      <c r="L24" s="56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05"/>
      <c r="J25" s="16"/>
      <c r="K25" s="16"/>
      <c r="L25" s="56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6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6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6"/>
      <c r="M28" s="15"/>
      <c r="N28" s="14"/>
      <c r="O28" s="14"/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6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6"/>
      <c r="I30" s="15"/>
      <c r="J30" s="16"/>
      <c r="K30" s="16"/>
      <c r="L30" s="56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6"/>
      <c r="M31" s="15"/>
      <c r="N31" s="14"/>
      <c r="O31" s="14"/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6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7"/>
      <c r="Q33" s="47"/>
      <c r="R33" s="47"/>
      <c r="S33" s="47"/>
      <c r="T33" s="47"/>
      <c r="U33" s="47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6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6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6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6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6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6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6"/>
      <c r="M40" s="15"/>
      <c r="N40" s="14"/>
      <c r="O40" s="14"/>
    </row>
    <row r="41" spans="1:21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6"/>
      <c r="M41" s="15"/>
      <c r="N41" s="14"/>
      <c r="O41" s="14"/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6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6"/>
      <c r="M43" s="15"/>
      <c r="N43" s="14"/>
      <c r="O43" s="14"/>
    </row>
    <row r="44" spans="1:21" s="47" customFormat="1">
      <c r="A44" s="50"/>
      <c r="B44" s="51"/>
      <c r="C44" s="52"/>
      <c r="D44" s="37"/>
      <c r="E44" s="37"/>
      <c r="F44" s="37"/>
      <c r="G44" s="37"/>
      <c r="H44" s="53"/>
      <c r="I44" s="36"/>
      <c r="J44" s="49"/>
      <c r="K44" s="49"/>
      <c r="L44" s="56"/>
      <c r="M44" s="36"/>
      <c r="N44" s="37"/>
      <c r="O44" s="37"/>
    </row>
    <row r="45" spans="1:21" s="47" customFormat="1">
      <c r="A45" s="33"/>
      <c r="B45" s="51"/>
      <c r="C45" s="52"/>
      <c r="D45" s="37"/>
      <c r="E45" s="37"/>
      <c r="F45" s="37"/>
      <c r="G45" s="37"/>
      <c r="H45" s="53"/>
      <c r="I45" s="36"/>
      <c r="J45" s="49"/>
      <c r="K45" s="49"/>
      <c r="L45" s="56"/>
      <c r="M45" s="36"/>
      <c r="N45" s="37"/>
      <c r="O45" s="37"/>
    </row>
    <row r="46" spans="1:21" s="47" customFormat="1">
      <c r="A46" s="33"/>
      <c r="B46" s="51"/>
      <c r="C46" s="52"/>
      <c r="D46" s="37"/>
      <c r="E46" s="37"/>
      <c r="F46" s="37"/>
      <c r="G46" s="37"/>
      <c r="H46" s="53"/>
      <c r="I46" s="36"/>
      <c r="J46" s="49"/>
      <c r="K46" s="49"/>
      <c r="L46" s="56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6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6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6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6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8"/>
      <c r="I51" s="15"/>
      <c r="J51" s="16"/>
      <c r="K51" s="16"/>
      <c r="L51" s="56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6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6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6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6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6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6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6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6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6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6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6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6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6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6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6"/>
      <c r="I66" s="15"/>
      <c r="J66" s="16"/>
      <c r="K66" s="16"/>
      <c r="L66" s="56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6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6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6"/>
      <c r="M69" s="15"/>
      <c r="N69" s="14"/>
      <c r="O69" s="14" t="s">
        <v>21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49"/>
      <c r="K70" s="49"/>
      <c r="L70" s="56"/>
      <c r="M70" s="15"/>
      <c r="N70" s="14"/>
      <c r="O70" s="14"/>
    </row>
    <row r="71" spans="1:15">
      <c r="A71" s="45"/>
      <c r="B71" s="24"/>
      <c r="C71" s="25"/>
      <c r="D71" s="14"/>
      <c r="E71" s="14"/>
      <c r="F71" s="14"/>
      <c r="G71" s="14"/>
      <c r="H71" s="26"/>
      <c r="I71" s="15"/>
      <c r="J71" s="49"/>
      <c r="K71" s="49"/>
      <c r="L71" s="56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6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6"/>
      <c r="M73" s="15"/>
      <c r="N73" s="37"/>
      <c r="O73" s="14"/>
    </row>
    <row r="74" spans="1:15">
      <c r="A74" s="32"/>
      <c r="B74" s="51"/>
      <c r="C74" s="32"/>
      <c r="D74" s="37"/>
      <c r="E74" s="37"/>
      <c r="F74" s="37"/>
      <c r="G74" s="14"/>
      <c r="H74" s="31"/>
      <c r="I74" s="15"/>
      <c r="J74" s="16"/>
      <c r="K74" s="16"/>
      <c r="L74" s="56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6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49"/>
      <c r="K76" s="49"/>
      <c r="L76" s="56"/>
      <c r="M76" s="15"/>
      <c r="N76" s="14"/>
      <c r="O76" s="14"/>
    </row>
    <row r="77" spans="1:15" s="47" customFormat="1">
      <c r="A77" s="25"/>
      <c r="B77" s="51"/>
      <c r="C77" s="32"/>
      <c r="D77" s="37"/>
      <c r="E77" s="37"/>
      <c r="F77" s="37"/>
      <c r="G77" s="37"/>
      <c r="H77" s="53"/>
      <c r="I77" s="36"/>
      <c r="J77" s="49"/>
      <c r="K77" s="49"/>
      <c r="L77" s="56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6"/>
      <c r="M78" s="15"/>
      <c r="N78" s="14"/>
      <c r="O78" s="14" t="s">
        <v>22</v>
      </c>
    </row>
    <row r="79" spans="1:15">
      <c r="A79" s="57"/>
      <c r="B79" s="24"/>
      <c r="C79" s="57"/>
      <c r="D79" s="14"/>
      <c r="E79" s="14"/>
      <c r="F79" s="14"/>
      <c r="G79" s="23"/>
      <c r="H79" s="27"/>
      <c r="I79" s="15"/>
      <c r="J79" s="16"/>
      <c r="K79" s="16"/>
      <c r="L79" s="56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6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6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6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6"/>
      <c r="M83" s="15"/>
      <c r="N83" s="14"/>
      <c r="O83" s="14"/>
    </row>
    <row r="84" spans="1:15">
      <c r="A84" s="83"/>
      <c r="B84" s="24"/>
      <c r="C84" s="83"/>
      <c r="D84" s="14"/>
      <c r="E84" s="14"/>
      <c r="F84" s="14"/>
      <c r="G84" s="14"/>
      <c r="H84" s="84"/>
      <c r="I84" s="15"/>
      <c r="J84" s="16"/>
      <c r="K84" s="16"/>
      <c r="L84" s="15"/>
      <c r="M84" s="15"/>
      <c r="N84" s="14"/>
      <c r="O84" s="14" t="s">
        <v>26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6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6"/>
      <c r="M86" s="15"/>
      <c r="N86" s="14"/>
      <c r="O86" s="14"/>
    </row>
    <row r="87" spans="1:15">
      <c r="A87" s="25"/>
      <c r="B87" s="24"/>
      <c r="C87" s="14"/>
      <c r="D87" s="14"/>
      <c r="E87" s="14"/>
      <c r="F87" s="59"/>
      <c r="G87" s="14"/>
      <c r="H87" s="27"/>
      <c r="I87" s="15"/>
      <c r="J87" s="16"/>
      <c r="K87" s="16"/>
      <c r="L87" s="56"/>
      <c r="M87" s="15"/>
      <c r="N87" s="14"/>
      <c r="O87" s="14"/>
    </row>
    <row r="88" spans="1:15">
      <c r="A88" s="25"/>
      <c r="B88" s="24"/>
      <c r="C88" s="25"/>
      <c r="D88" s="14"/>
      <c r="E88" s="14"/>
      <c r="F88" s="58"/>
      <c r="G88" s="14"/>
      <c r="H88" s="26"/>
      <c r="I88" s="15"/>
      <c r="J88" s="16"/>
      <c r="K88" s="16"/>
      <c r="L88" s="56"/>
      <c r="M88" s="15"/>
      <c r="N88" s="14"/>
      <c r="O88" s="14"/>
    </row>
    <row r="89" spans="1:15">
      <c r="A89" s="29"/>
      <c r="B89" s="24"/>
      <c r="C89" s="14"/>
      <c r="D89" s="14"/>
      <c r="E89" s="14"/>
      <c r="F89" s="58"/>
      <c r="G89" s="14"/>
      <c r="H89" s="31"/>
      <c r="I89" s="15"/>
      <c r="J89" s="16"/>
      <c r="K89" s="16"/>
      <c r="L89" s="56"/>
      <c r="M89" s="15"/>
      <c r="N89" s="14"/>
      <c r="O89" s="14"/>
    </row>
    <row r="90" spans="1:15">
      <c r="A90" s="57"/>
      <c r="B90" s="24"/>
      <c r="C90" s="57"/>
      <c r="D90" s="14"/>
      <c r="E90" s="14"/>
      <c r="F90" s="58"/>
      <c r="G90" s="14"/>
      <c r="H90" s="26"/>
      <c r="I90" s="15"/>
      <c r="J90" s="16"/>
      <c r="K90" s="16"/>
      <c r="L90" s="56"/>
      <c r="M90" s="15"/>
      <c r="N90" s="14"/>
      <c r="O90" s="14"/>
    </row>
    <row r="91" spans="1:15">
      <c r="A91" s="25"/>
      <c r="B91" s="24"/>
      <c r="C91" s="14"/>
      <c r="D91" s="14"/>
      <c r="E91" s="14"/>
      <c r="F91" s="58"/>
      <c r="G91" s="14"/>
      <c r="H91" s="27"/>
      <c r="I91" s="15"/>
      <c r="J91" s="16"/>
      <c r="K91" s="16"/>
      <c r="L91" s="56"/>
      <c r="M91" s="15"/>
      <c r="N91" s="14"/>
      <c r="O91" s="14"/>
    </row>
    <row r="92" spans="1:15">
      <c r="A92" s="25"/>
      <c r="B92" s="24"/>
      <c r="C92" s="25"/>
      <c r="D92" s="14"/>
      <c r="E92" s="14"/>
      <c r="F92" s="58"/>
      <c r="G92" s="37"/>
      <c r="H92" s="53"/>
      <c r="I92" s="15"/>
      <c r="J92" s="16"/>
      <c r="K92" s="16"/>
      <c r="L92" s="56"/>
      <c r="M92" s="15"/>
      <c r="N92" s="14"/>
      <c r="O92" s="14"/>
    </row>
    <row r="93" spans="1:15">
      <c r="A93" s="25"/>
      <c r="B93" s="24"/>
      <c r="C93" s="14"/>
      <c r="D93" s="14"/>
      <c r="E93" s="14"/>
      <c r="F93" s="60"/>
      <c r="G93" s="68"/>
      <c r="H93" s="28"/>
      <c r="I93" s="15"/>
      <c r="J93" s="16"/>
      <c r="K93" s="16"/>
      <c r="L93" s="56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68"/>
      <c r="H94" s="28"/>
      <c r="I94" s="15"/>
      <c r="J94" s="16"/>
      <c r="K94" s="16"/>
      <c r="L94" s="56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68"/>
      <c r="H95" s="28"/>
      <c r="I95" s="61"/>
      <c r="J95" s="16"/>
      <c r="K95" s="16"/>
      <c r="L95" s="56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68"/>
      <c r="H96" s="26"/>
      <c r="I96" s="15"/>
      <c r="J96" s="16"/>
      <c r="K96" s="16"/>
      <c r="L96" s="56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68"/>
      <c r="H97" s="26"/>
      <c r="I97" s="15"/>
      <c r="J97" s="16"/>
      <c r="K97" s="16"/>
      <c r="L97" s="56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68"/>
      <c r="H98" s="27"/>
      <c r="I98" s="15"/>
      <c r="J98" s="16"/>
      <c r="K98" s="16"/>
      <c r="L98" s="56"/>
      <c r="M98" s="15"/>
      <c r="N98" s="14"/>
      <c r="O98" s="14" t="s">
        <v>20</v>
      </c>
    </row>
    <row r="99" spans="1:15">
      <c r="A99" s="25"/>
      <c r="B99" s="24"/>
      <c r="C99" s="25"/>
      <c r="D99" s="14"/>
      <c r="E99" s="14"/>
      <c r="F99" s="14"/>
      <c r="G99" s="68"/>
      <c r="H99" s="27"/>
      <c r="I99" s="15"/>
      <c r="J99" s="16"/>
      <c r="K99" s="16"/>
      <c r="L99" s="56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68"/>
      <c r="H100" s="28"/>
      <c r="I100" s="15"/>
      <c r="J100" s="16"/>
      <c r="K100" s="16"/>
      <c r="L100" s="56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68"/>
      <c r="H101" s="26"/>
      <c r="I101" s="15"/>
      <c r="J101" s="16"/>
      <c r="K101" s="16"/>
      <c r="L101" s="56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68"/>
      <c r="H102" s="26"/>
      <c r="I102" s="15"/>
      <c r="J102" s="16"/>
      <c r="K102" s="16"/>
      <c r="L102" s="56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68"/>
      <c r="H103" s="31"/>
      <c r="I103" s="15"/>
      <c r="J103" s="16"/>
      <c r="K103" s="16"/>
      <c r="L103" s="56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68"/>
      <c r="H104" s="31"/>
      <c r="I104" s="15"/>
      <c r="J104" s="16"/>
      <c r="K104" s="16"/>
      <c r="L104" s="56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68"/>
      <c r="H105" s="28"/>
      <c r="I105" s="15"/>
      <c r="J105" s="16"/>
      <c r="K105" s="16"/>
      <c r="L105" s="56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68"/>
      <c r="H106" s="26"/>
      <c r="I106" s="15"/>
      <c r="J106" s="16"/>
      <c r="K106" s="16"/>
      <c r="L106" s="56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68"/>
      <c r="H107" s="26"/>
      <c r="I107" s="15"/>
      <c r="J107" s="16"/>
      <c r="K107" s="16"/>
      <c r="L107" s="56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68"/>
      <c r="H108" s="26"/>
      <c r="I108" s="15"/>
      <c r="J108" s="16"/>
      <c r="K108" s="16"/>
      <c r="L108" s="56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3"/>
      <c r="I109" s="15"/>
      <c r="J109" s="16"/>
      <c r="K109" s="16"/>
      <c r="L109" s="56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68"/>
      <c r="H110" s="26"/>
      <c r="I110" s="15"/>
      <c r="J110" s="16"/>
      <c r="K110" s="16"/>
      <c r="L110" s="56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68"/>
      <c r="H111" s="26"/>
      <c r="I111" s="72"/>
      <c r="J111" s="16"/>
      <c r="K111" s="16"/>
      <c r="L111" s="56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68"/>
      <c r="H112" s="26"/>
      <c r="I112" s="72"/>
      <c r="J112" s="16"/>
      <c r="K112" s="16"/>
      <c r="L112" s="56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72"/>
      <c r="J113" s="16"/>
      <c r="K113" s="16"/>
      <c r="L113" s="56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72"/>
      <c r="J114" s="16"/>
      <c r="K114" s="16"/>
      <c r="L114" s="56"/>
      <c r="M114" s="15"/>
      <c r="N114" s="14"/>
      <c r="O114" s="14"/>
    </row>
    <row r="115" spans="1:15">
      <c r="A115" s="83"/>
      <c r="B115" s="24"/>
      <c r="C115" s="83"/>
      <c r="D115" s="14"/>
      <c r="E115" s="14"/>
      <c r="F115" s="14"/>
      <c r="G115" s="14"/>
      <c r="H115" s="26"/>
      <c r="I115" s="72"/>
      <c r="J115" s="16"/>
      <c r="K115" s="16"/>
      <c r="L115" s="15"/>
      <c r="M115" s="15"/>
      <c r="N115" s="14"/>
      <c r="O115" s="149" t="s">
        <v>23</v>
      </c>
    </row>
    <row r="116" spans="1:15">
      <c r="A116" s="83"/>
      <c r="B116" s="24"/>
      <c r="C116" s="83"/>
      <c r="D116" s="14"/>
      <c r="E116" s="14"/>
      <c r="F116" s="14"/>
      <c r="G116" s="14"/>
      <c r="H116" s="26"/>
      <c r="I116" s="72"/>
      <c r="J116" s="16"/>
      <c r="K116" s="16"/>
      <c r="L116" s="15"/>
      <c r="M116" s="15"/>
      <c r="N116" s="14"/>
      <c r="O116" s="150"/>
    </row>
    <row r="117" spans="1:15">
      <c r="A117" s="25"/>
      <c r="B117" s="24"/>
      <c r="C117" s="25"/>
      <c r="D117" s="14"/>
      <c r="E117" s="14"/>
      <c r="F117" s="14"/>
      <c r="G117" s="70"/>
      <c r="H117" s="27"/>
      <c r="I117" s="72"/>
      <c r="J117" s="16"/>
      <c r="K117" s="16"/>
      <c r="L117" s="56"/>
      <c r="M117" s="15"/>
      <c r="N117" s="14"/>
      <c r="O117" s="14"/>
    </row>
    <row r="118" spans="1:15">
      <c r="A118" s="57"/>
      <c r="B118" s="24"/>
      <c r="C118" s="57"/>
      <c r="D118" s="14"/>
      <c r="E118" s="14"/>
      <c r="F118" s="14"/>
      <c r="G118" s="14"/>
      <c r="H118" s="69"/>
      <c r="I118" s="72"/>
      <c r="J118" s="16"/>
      <c r="K118" s="16"/>
      <c r="L118" s="56"/>
      <c r="M118" s="15"/>
      <c r="N118" s="14"/>
      <c r="O118" s="14"/>
    </row>
    <row r="119" spans="1:15">
      <c r="A119" s="25"/>
      <c r="B119" s="24"/>
      <c r="C119" s="57"/>
      <c r="D119" s="14"/>
      <c r="E119" s="14"/>
      <c r="F119" s="14"/>
      <c r="G119" s="14"/>
      <c r="H119" s="27"/>
      <c r="I119" s="72"/>
      <c r="J119" s="16"/>
      <c r="K119" s="16"/>
      <c r="L119" s="56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72"/>
      <c r="J120" s="16"/>
      <c r="K120" s="16"/>
      <c r="L120" s="56"/>
      <c r="M120" s="15"/>
      <c r="N120" s="14"/>
      <c r="O120" s="14"/>
    </row>
    <row r="121" spans="1:15">
      <c r="A121" s="57"/>
      <c r="B121" s="24"/>
      <c r="C121" s="57"/>
      <c r="D121" s="14"/>
      <c r="E121" s="14"/>
      <c r="F121" s="14"/>
      <c r="G121" s="14"/>
      <c r="H121" s="26"/>
      <c r="I121" s="72"/>
      <c r="J121" s="16"/>
      <c r="K121" s="16"/>
      <c r="L121" s="56"/>
      <c r="M121" s="15"/>
      <c r="N121" s="14"/>
      <c r="O121" s="14"/>
    </row>
    <row r="122" spans="1:15">
      <c r="A122" s="57"/>
      <c r="B122" s="24"/>
      <c r="C122" s="57"/>
      <c r="D122" s="14"/>
      <c r="E122" s="14"/>
      <c r="F122" s="14"/>
      <c r="G122" s="14"/>
      <c r="H122" s="26"/>
      <c r="I122" s="72"/>
      <c r="J122" s="16"/>
      <c r="K122" s="16"/>
      <c r="L122" s="56"/>
      <c r="M122" s="15"/>
      <c r="N122" s="14"/>
      <c r="O122" s="14"/>
    </row>
    <row r="123" spans="1:15">
      <c r="A123" s="57"/>
      <c r="B123" s="24"/>
      <c r="C123" s="57"/>
      <c r="D123" s="14"/>
      <c r="E123" s="14"/>
      <c r="F123" s="14"/>
      <c r="G123" s="14"/>
      <c r="H123" s="31"/>
      <c r="I123" s="72"/>
      <c r="J123" s="16"/>
      <c r="K123" s="16"/>
      <c r="L123" s="56"/>
      <c r="M123" s="15"/>
      <c r="N123" s="14"/>
      <c r="O123" s="14"/>
    </row>
    <row r="124" spans="1:15">
      <c r="A124" s="57"/>
      <c r="B124" s="24"/>
      <c r="C124" s="57"/>
      <c r="D124" s="14"/>
      <c r="E124" s="14"/>
      <c r="F124" s="14"/>
      <c r="G124" s="71"/>
      <c r="H124" s="69"/>
      <c r="I124" s="73"/>
      <c r="J124" s="16"/>
      <c r="K124" s="16"/>
      <c r="L124" s="56"/>
      <c r="M124" s="15"/>
      <c r="N124" s="14"/>
      <c r="O124" s="14"/>
    </row>
    <row r="125" spans="1:15">
      <c r="A125" s="57"/>
      <c r="B125" s="24"/>
      <c r="C125" s="57"/>
      <c r="D125" s="14"/>
      <c r="E125" s="14"/>
      <c r="F125" s="14"/>
      <c r="G125" s="14"/>
      <c r="H125" s="28"/>
      <c r="I125" s="72"/>
      <c r="J125" s="16"/>
      <c r="K125" s="16"/>
      <c r="L125" s="56"/>
      <c r="M125" s="15"/>
      <c r="N125" s="14"/>
      <c r="O125" s="14"/>
    </row>
    <row r="126" spans="1:15">
      <c r="A126" s="57"/>
      <c r="B126" s="24"/>
      <c r="C126" s="57"/>
      <c r="D126" s="14"/>
      <c r="E126" s="14"/>
      <c r="F126" s="14"/>
      <c r="G126" s="14"/>
      <c r="H126" s="28"/>
      <c r="I126" s="72"/>
      <c r="J126" s="16"/>
      <c r="K126" s="16"/>
      <c r="L126" s="56"/>
      <c r="M126" s="15"/>
      <c r="N126" s="14"/>
      <c r="O126" s="14"/>
    </row>
    <row r="127" spans="1:15">
      <c r="A127" s="57"/>
      <c r="B127" s="24"/>
      <c r="C127" s="57"/>
      <c r="D127" s="14"/>
      <c r="E127" s="14"/>
      <c r="F127" s="14"/>
      <c r="G127" s="70"/>
      <c r="H127" s="26"/>
      <c r="I127" s="15"/>
      <c r="J127" s="16"/>
      <c r="K127" s="16"/>
      <c r="L127" s="56"/>
      <c r="M127" s="15"/>
      <c r="N127" s="14"/>
      <c r="O127" s="14"/>
    </row>
    <row r="128" spans="1:15">
      <c r="A128" s="57"/>
      <c r="B128" s="24"/>
      <c r="C128" s="57"/>
      <c r="D128" s="14"/>
      <c r="E128" s="14"/>
      <c r="F128" s="14"/>
      <c r="G128" s="14"/>
      <c r="H128" s="26"/>
      <c r="I128" s="15"/>
      <c r="J128" s="16"/>
      <c r="K128" s="16"/>
      <c r="L128" s="56"/>
      <c r="M128" s="15"/>
      <c r="N128" s="14"/>
      <c r="O128" s="14"/>
    </row>
    <row r="129" spans="1:19">
      <c r="A129" s="87"/>
      <c r="B129" s="24"/>
      <c r="C129" s="57"/>
      <c r="D129" s="14"/>
      <c r="E129" s="14"/>
      <c r="F129" s="14"/>
      <c r="G129" s="14"/>
      <c r="H129" s="27"/>
      <c r="I129" s="15"/>
      <c r="J129" s="16"/>
      <c r="K129" s="16"/>
      <c r="L129" s="56"/>
      <c r="M129" s="15"/>
      <c r="N129" s="14"/>
      <c r="O129" s="14"/>
    </row>
    <row r="130" spans="1:19" s="37" customFormat="1">
      <c r="A130" s="63"/>
      <c r="B130" s="51"/>
      <c r="C130" s="63"/>
      <c r="H130" s="64"/>
      <c r="I130" s="36"/>
      <c r="J130" s="49"/>
      <c r="K130" s="49"/>
      <c r="L130" s="56"/>
      <c r="M130" s="36"/>
      <c r="P130" s="47"/>
      <c r="Q130" s="47"/>
      <c r="R130" s="47"/>
      <c r="S130" s="66"/>
    </row>
    <row r="131" spans="1:19" s="14" customFormat="1">
      <c r="A131" s="57"/>
      <c r="B131" s="51"/>
      <c r="C131" s="57"/>
      <c r="H131" s="27"/>
      <c r="I131" s="15"/>
      <c r="J131" s="49"/>
      <c r="K131" s="49"/>
      <c r="L131" s="56"/>
      <c r="M131" s="15"/>
      <c r="P131" s="1"/>
      <c r="Q131" s="1"/>
      <c r="R131" s="1"/>
      <c r="S131" s="67"/>
    </row>
    <row r="132" spans="1:19" s="14" customFormat="1">
      <c r="A132" s="57"/>
      <c r="B132" s="51"/>
      <c r="C132" s="57"/>
      <c r="H132" s="27"/>
      <c r="I132" s="15"/>
      <c r="J132" s="16"/>
      <c r="K132" s="16"/>
      <c r="L132" s="56"/>
      <c r="M132" s="15"/>
      <c r="P132" s="1"/>
      <c r="Q132" s="1"/>
      <c r="R132" s="1"/>
      <c r="S132" s="67"/>
    </row>
    <row r="133" spans="1:19" s="14" customFormat="1">
      <c r="A133" s="57"/>
      <c r="B133" s="51"/>
      <c r="C133" s="57"/>
      <c r="H133" s="27"/>
      <c r="I133" s="15"/>
      <c r="J133" s="16"/>
      <c r="K133" s="16"/>
      <c r="L133" s="56"/>
      <c r="M133" s="15"/>
      <c r="P133" s="1"/>
      <c r="Q133" s="1"/>
      <c r="R133" s="1"/>
      <c r="S133" s="67"/>
    </row>
    <row r="134" spans="1:19" s="14" customFormat="1">
      <c r="A134" s="57"/>
      <c r="B134" s="24"/>
      <c r="H134" s="27"/>
      <c r="I134" s="15"/>
      <c r="J134" s="16"/>
      <c r="K134" s="16"/>
      <c r="L134" s="56"/>
      <c r="M134" s="15"/>
      <c r="P134" s="1"/>
      <c r="Q134" s="1"/>
      <c r="R134" s="1"/>
      <c r="S134" s="67"/>
    </row>
    <row r="135" spans="1:19">
      <c r="A135" s="57"/>
      <c r="B135" s="24"/>
      <c r="C135" s="57"/>
      <c r="D135" s="14"/>
      <c r="E135" s="14"/>
      <c r="F135" s="14"/>
      <c r="G135" s="14"/>
      <c r="H135" s="26"/>
      <c r="I135" s="15"/>
      <c r="J135" s="16"/>
      <c r="K135" s="16"/>
      <c r="L135" s="56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6"/>
      <c r="M136" s="15"/>
      <c r="N136" s="14"/>
      <c r="O136" s="14"/>
    </row>
    <row r="137" spans="1:19">
      <c r="A137" s="57"/>
      <c r="B137" s="24"/>
      <c r="C137" s="57"/>
      <c r="D137" s="14"/>
      <c r="E137" s="14"/>
      <c r="F137" s="14"/>
      <c r="G137" s="14"/>
      <c r="H137" s="26"/>
      <c r="I137" s="15"/>
      <c r="J137" s="16"/>
      <c r="K137" s="16"/>
      <c r="L137" s="56"/>
      <c r="M137" s="15"/>
      <c r="N137" s="14"/>
      <c r="O137" s="14"/>
    </row>
    <row r="138" spans="1:19">
      <c r="A138" s="65"/>
      <c r="B138" s="24"/>
      <c r="C138" s="57"/>
      <c r="D138" s="14"/>
      <c r="E138" s="14"/>
      <c r="F138" s="14"/>
      <c r="G138" s="14"/>
      <c r="H138" s="27"/>
      <c r="I138" s="15"/>
      <c r="J138" s="16"/>
      <c r="K138" s="16"/>
      <c r="L138" s="56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3"/>
      <c r="I139" s="15"/>
      <c r="J139" s="16"/>
      <c r="K139" s="16"/>
      <c r="L139" s="56"/>
      <c r="M139" s="15"/>
      <c r="N139" s="14"/>
      <c r="O139" s="14"/>
    </row>
    <row r="140" spans="1:19">
      <c r="A140" s="57"/>
      <c r="B140" s="24"/>
      <c r="C140" s="57"/>
      <c r="D140" s="14"/>
      <c r="E140" s="14"/>
      <c r="F140" s="14"/>
      <c r="G140" s="23"/>
      <c r="H140" s="27"/>
      <c r="I140" s="15"/>
      <c r="J140" s="16"/>
      <c r="K140" s="16"/>
      <c r="L140" s="56"/>
      <c r="M140" s="15"/>
      <c r="N140" s="14"/>
      <c r="O140" s="14"/>
    </row>
    <row r="141" spans="1:19">
      <c r="A141" s="57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6"/>
      <c r="M141" s="15"/>
      <c r="N141" s="14"/>
      <c r="O141" s="14"/>
    </row>
    <row r="142" spans="1:19">
      <c r="A142" s="57"/>
      <c r="B142" s="24"/>
      <c r="C142" s="57"/>
      <c r="D142" s="14"/>
      <c r="E142" s="14"/>
      <c r="F142" s="14"/>
      <c r="G142" s="14"/>
      <c r="H142" s="31"/>
      <c r="I142" s="15"/>
      <c r="J142" s="16"/>
      <c r="K142" s="16"/>
      <c r="L142" s="81"/>
      <c r="M142" s="15"/>
      <c r="N142" s="14"/>
      <c r="O142" s="14"/>
    </row>
    <row r="143" spans="1:19">
      <c r="A143" s="57"/>
      <c r="B143" s="24"/>
      <c r="C143" s="57"/>
      <c r="D143" s="14"/>
      <c r="E143" s="14"/>
      <c r="F143" s="14"/>
      <c r="G143" s="14"/>
      <c r="H143" s="31"/>
      <c r="I143" s="15"/>
      <c r="J143" s="16"/>
      <c r="K143" s="16"/>
      <c r="L143" s="81"/>
      <c r="M143" s="15"/>
      <c r="N143" s="14"/>
      <c r="O143" s="14"/>
    </row>
    <row r="144" spans="1:19">
      <c r="A144" s="57"/>
      <c r="B144" s="24"/>
      <c r="C144" s="57"/>
      <c r="D144" s="14"/>
      <c r="E144" s="14"/>
      <c r="F144" s="14"/>
      <c r="G144" s="62"/>
      <c r="H144" s="28"/>
      <c r="I144" s="15"/>
      <c r="J144" s="16"/>
      <c r="K144" s="16"/>
      <c r="L144" s="56"/>
      <c r="M144" s="15"/>
      <c r="N144" s="14"/>
      <c r="O144" s="14"/>
    </row>
    <row r="145" spans="1:15">
      <c r="A145" s="57"/>
      <c r="B145" s="24"/>
      <c r="C145" s="57"/>
      <c r="D145" s="14"/>
      <c r="E145" s="14"/>
      <c r="F145" s="14"/>
      <c r="G145" s="14"/>
      <c r="H145" s="31"/>
      <c r="I145" s="15"/>
      <c r="J145" s="16"/>
      <c r="K145" s="16"/>
      <c r="L145" s="56"/>
      <c r="M145" s="15"/>
      <c r="N145" s="14"/>
      <c r="O145" s="14"/>
    </row>
    <row r="146" spans="1:15">
      <c r="A146" s="57"/>
      <c r="B146" s="24"/>
      <c r="C146" s="57"/>
      <c r="D146" s="14"/>
      <c r="E146" s="14"/>
      <c r="F146" s="14"/>
      <c r="G146" s="14"/>
      <c r="H146" s="26"/>
      <c r="I146" s="15"/>
      <c r="J146" s="16"/>
      <c r="K146" s="16"/>
      <c r="L146" s="56"/>
      <c r="M146" s="15"/>
      <c r="N146" s="14"/>
      <c r="O146" s="14"/>
    </row>
    <row r="147" spans="1:15">
      <c r="A147" s="57"/>
      <c r="B147" s="24"/>
      <c r="C147" s="57"/>
      <c r="D147" s="14"/>
      <c r="E147" s="14"/>
      <c r="F147" s="14"/>
      <c r="G147" s="46"/>
      <c r="H147" s="64"/>
      <c r="I147" s="15"/>
      <c r="J147" s="16"/>
      <c r="K147" s="16"/>
      <c r="L147" s="56"/>
      <c r="M147" s="15"/>
      <c r="N147" s="14"/>
      <c r="O147" s="14"/>
    </row>
    <row r="148" spans="1:15">
      <c r="A148" s="65"/>
      <c r="B148" s="24"/>
      <c r="C148" s="57"/>
      <c r="D148" s="14"/>
      <c r="E148" s="14"/>
      <c r="F148" s="14"/>
      <c r="G148" s="37"/>
      <c r="H148" s="26"/>
      <c r="I148" s="15"/>
      <c r="J148" s="16"/>
      <c r="K148" s="16"/>
      <c r="L148" s="56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6"/>
      <c r="M149" s="15"/>
      <c r="N149" s="14"/>
      <c r="O149" s="14"/>
    </row>
    <row r="150" spans="1:15">
      <c r="A150" s="32"/>
      <c r="B150" s="51"/>
      <c r="C150" s="32"/>
      <c r="D150" s="37"/>
      <c r="E150" s="37"/>
      <c r="F150" s="37"/>
      <c r="G150" s="37"/>
      <c r="H150" s="53"/>
      <c r="I150" s="36"/>
      <c r="J150" s="49"/>
      <c r="K150" s="49"/>
      <c r="L150" s="56"/>
      <c r="M150" s="36"/>
      <c r="N150" s="37"/>
      <c r="O150" s="14"/>
    </row>
    <row r="151" spans="1:15">
      <c r="A151" s="32"/>
      <c r="B151" s="51"/>
      <c r="C151" s="32"/>
      <c r="D151" s="37"/>
      <c r="E151" s="37"/>
      <c r="F151" s="37"/>
      <c r="G151" s="37"/>
      <c r="H151" s="53"/>
      <c r="I151" s="36"/>
      <c r="J151" s="49"/>
      <c r="K151" s="49"/>
      <c r="L151" s="56"/>
      <c r="M151" s="36"/>
      <c r="N151" s="37"/>
      <c r="O151" s="14"/>
    </row>
    <row r="152" spans="1:15">
      <c r="A152" s="85"/>
      <c r="B152" s="24"/>
      <c r="C152" s="85"/>
      <c r="D152" s="14"/>
      <c r="E152" s="14"/>
      <c r="F152" s="14"/>
      <c r="G152" s="23"/>
      <c r="H152" s="84"/>
      <c r="I152" s="15"/>
      <c r="J152" s="16"/>
      <c r="K152" s="16"/>
      <c r="L152" s="15"/>
      <c r="M152" s="15"/>
      <c r="N152" s="14"/>
      <c r="O152" s="14" t="s">
        <v>26</v>
      </c>
    </row>
    <row r="153" spans="1:15">
      <c r="A153" s="57"/>
      <c r="B153" s="51"/>
      <c r="C153" s="57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57"/>
      <c r="B154" s="24"/>
      <c r="C154" s="57"/>
      <c r="D154" s="14"/>
      <c r="E154" s="14"/>
      <c r="F154" s="14"/>
      <c r="G154" s="46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57"/>
      <c r="B155" s="24"/>
      <c r="C155" s="57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57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57"/>
      <c r="B157" s="24"/>
      <c r="C157" s="57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57"/>
      <c r="B158" s="24"/>
      <c r="C158" s="57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57"/>
      <c r="B159" s="24"/>
      <c r="C159" s="57"/>
      <c r="D159" s="37"/>
      <c r="E159" s="37"/>
      <c r="F159" s="14"/>
      <c r="G159" s="37"/>
      <c r="H159" s="69"/>
      <c r="I159" s="15"/>
      <c r="J159" s="16"/>
      <c r="K159" s="16"/>
      <c r="L159" s="15"/>
      <c r="M159" s="36"/>
      <c r="N159" s="14"/>
      <c r="O159" s="14"/>
    </row>
    <row r="160" spans="1:15">
      <c r="A160" s="57"/>
      <c r="B160" s="24"/>
      <c r="C160" s="57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57"/>
      <c r="B161" s="24"/>
      <c r="C161" s="57"/>
      <c r="D161" s="37"/>
      <c r="E161" s="37"/>
      <c r="F161" s="14"/>
      <c r="G161" s="32"/>
      <c r="H161" s="79"/>
      <c r="I161" s="15"/>
      <c r="J161" s="16"/>
      <c r="K161" s="16"/>
      <c r="L161" s="15"/>
      <c r="M161" s="15"/>
      <c r="N161" s="14"/>
      <c r="O161" s="14"/>
    </row>
    <row r="162" spans="1:15">
      <c r="A162" s="57"/>
      <c r="B162" s="24"/>
      <c r="C162" s="57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57"/>
      <c r="B163" s="24"/>
      <c r="C163" s="57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57"/>
      <c r="B164" s="24"/>
      <c r="C164" s="57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57"/>
      <c r="B173" s="24"/>
      <c r="C173" s="57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57"/>
      <c r="B174" s="24"/>
      <c r="C174" s="57"/>
      <c r="D174" s="14"/>
      <c r="E174" s="37"/>
      <c r="F174" s="14"/>
      <c r="G174" s="147"/>
      <c r="H174" s="148"/>
      <c r="I174" s="15"/>
      <c r="J174" s="16"/>
      <c r="K174" s="16"/>
      <c r="L174" s="15"/>
      <c r="M174" s="15"/>
      <c r="N174" s="14"/>
      <c r="O174" s="14"/>
    </row>
    <row r="175" spans="1:15">
      <c r="A175" s="57"/>
      <c r="B175" s="24"/>
      <c r="C175" s="57"/>
      <c r="D175" s="14"/>
      <c r="E175" s="37"/>
      <c r="F175" s="14"/>
      <c r="G175" s="14"/>
      <c r="H175" s="92"/>
      <c r="I175" s="15"/>
      <c r="J175" s="16"/>
      <c r="K175" s="16"/>
      <c r="L175" s="15"/>
      <c r="M175" s="15"/>
      <c r="N175" s="14"/>
      <c r="O175" s="14"/>
    </row>
    <row r="176" spans="1:15">
      <c r="A176" s="90"/>
      <c r="B176" s="24"/>
      <c r="C176" s="14"/>
      <c r="D176" s="14"/>
      <c r="E176" s="14"/>
      <c r="F176" s="14"/>
      <c r="G176" s="147"/>
      <c r="H176" s="148"/>
      <c r="I176" s="15"/>
      <c r="J176" s="16"/>
      <c r="K176" s="16"/>
      <c r="L176" s="15"/>
      <c r="M176" s="15"/>
      <c r="N176" s="14"/>
      <c r="O176" s="14"/>
    </row>
    <row r="177" spans="1:15">
      <c r="A177" s="91"/>
      <c r="B177" s="24"/>
      <c r="C177" s="14"/>
      <c r="D177" s="14"/>
      <c r="E177" s="14"/>
      <c r="F177" s="14"/>
      <c r="G177" s="147"/>
      <c r="H177" s="148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57"/>
      <c r="B179" s="24"/>
      <c r="C179" s="57"/>
      <c r="D179" s="14"/>
      <c r="E179" s="37"/>
      <c r="F179" s="14"/>
      <c r="G179" s="14"/>
      <c r="H179" s="26"/>
      <c r="I179" s="93"/>
      <c r="J179" s="16"/>
      <c r="K179" s="16"/>
      <c r="L179" s="15"/>
      <c r="M179" s="15"/>
      <c r="N179" s="14"/>
      <c r="O179" s="14"/>
    </row>
    <row r="180" spans="1:15">
      <c r="A180" s="57"/>
      <c r="B180" s="24"/>
      <c r="C180" s="57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57"/>
      <c r="B181" s="24"/>
      <c r="C181" s="57"/>
      <c r="D181" s="14"/>
      <c r="E181" s="37"/>
      <c r="F181" s="14"/>
      <c r="G181" s="14"/>
      <c r="H181" s="69"/>
      <c r="I181" s="15"/>
      <c r="J181" s="16"/>
      <c r="K181" s="16"/>
      <c r="L181" s="15"/>
      <c r="M181" s="15"/>
      <c r="N181" s="14"/>
      <c r="O181" s="14"/>
    </row>
    <row r="182" spans="1:15">
      <c r="A182" s="57"/>
      <c r="B182" s="24"/>
      <c r="C182" s="57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57"/>
      <c r="B183" s="24"/>
      <c r="C183" s="65"/>
      <c r="D183" s="14"/>
      <c r="E183" s="94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89"/>
      <c r="B184" s="95"/>
      <c r="D184" s="96"/>
      <c r="E184" s="94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96"/>
      <c r="E185" s="97"/>
      <c r="F185" s="96"/>
      <c r="G185" s="96"/>
      <c r="H185" s="98"/>
      <c r="I185" s="99"/>
      <c r="J185" s="100"/>
      <c r="K185" s="16"/>
      <c r="L185" s="15"/>
      <c r="M185" s="15"/>
      <c r="N185" s="14"/>
      <c r="O185" s="14"/>
    </row>
    <row r="186" spans="1:15">
      <c r="A186" s="102"/>
      <c r="B186" s="95"/>
      <c r="C186" s="101"/>
      <c r="D186" s="97"/>
      <c r="E186" s="97"/>
      <c r="F186" s="96"/>
      <c r="G186" s="96"/>
      <c r="H186" s="98"/>
      <c r="I186" s="99"/>
      <c r="J186" s="100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65"/>
      <c r="B188" s="24"/>
      <c r="C188" s="57"/>
      <c r="D188" s="14"/>
      <c r="E188" s="37"/>
      <c r="F188" s="14"/>
      <c r="G188" s="25"/>
      <c r="H188" s="57"/>
      <c r="I188" s="15"/>
      <c r="J188" s="16"/>
      <c r="K188" s="16"/>
      <c r="L188" s="15"/>
      <c r="M188" s="15"/>
      <c r="N188" s="14"/>
      <c r="O188" s="14"/>
    </row>
    <row r="189" spans="1:15">
      <c r="A189" s="57"/>
      <c r="B189" s="24"/>
      <c r="C189" s="57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89"/>
    </row>
    <row r="191" spans="1:15">
      <c r="A191" s="89"/>
    </row>
    <row r="192" spans="1:15">
      <c r="A192" s="89"/>
    </row>
    <row r="193" spans="1:3">
      <c r="A193" s="89"/>
    </row>
    <row r="194" spans="1:3">
      <c r="A194" s="89"/>
    </row>
    <row r="195" spans="1:3" ht="15.75" thickBot="1">
      <c r="A195" s="89"/>
      <c r="C195" s="88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2017-06-08T14:24:29Z</cp:lastPrinted>
  <dcterms:created xsi:type="dcterms:W3CDTF">2016-03-10T10:14:51Z</dcterms:created>
  <dcterms:modified xsi:type="dcterms:W3CDTF">2017-09-12T10:19:06Z</dcterms:modified>
</cp:coreProperties>
</file>